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240" yWindow="10188" windowWidth="14808" windowHeight="1116" tabRatio="852"/>
  </bookViews>
  <sheets>
    <sheet name="прил. 1 (поступл.24-26)" sheetId="5" r:id="rId1"/>
    <sheet name="прил.2(пост.безв.24)" sheetId="2" r:id="rId2"/>
    <sheet name="прил.3 (пост.безв.25-26)" sheetId="16" r:id="rId3"/>
    <sheet name="прил.4 (безв.от пос.24) " sheetId="27" r:id="rId4"/>
    <sheet name="прил 5 (Рз,ПР 24-26)" sheetId="6" r:id="rId5"/>
    <sheet name="прил 6 (ЦС,ВР 24)" sheetId="7" r:id="rId6"/>
    <sheet name="прил 7 (ЦС,ВР 25-26)" sheetId="18" r:id="rId7"/>
    <sheet name="прил8 (ведом 24)" sheetId="3" r:id="rId8"/>
    <sheet name="прил9 (ведом 25-26)" sheetId="19" r:id="rId9"/>
    <sheet name="прил.10 (Источники 24-26)" sheetId="8" r:id="rId10"/>
    <sheet name="прил.11 (безв.всего 23-25)" sheetId="9" r:id="rId11"/>
    <sheet name="прил.12 (дотация 24-26)" sheetId="11" r:id="rId12"/>
    <sheet name="прил.13 мун.внутр.заим.24-26)" sheetId="12" r:id="rId13"/>
    <sheet name="прил.14(гар. 23-25)" sheetId="13" r:id="rId14"/>
    <sheet name="прил.15 мун.внеш.заим.23-25" sheetId="28" r:id="rId15"/>
    <sheet name="прил.16 (гар.в ин.в.23-25)" sheetId="29" r:id="rId16"/>
  </sheets>
  <definedNames>
    <definedName name="_xlnm._FilterDatabase" localSheetId="4" hidden="1">'прил 5 (Рз,ПР 24-26)'!$A$1:$A$62</definedName>
    <definedName name="_xlnm._FilterDatabase" localSheetId="5" hidden="1">'прил 6 (ЦС,ВР 24)'!$A$1:$H$566</definedName>
    <definedName name="_xlnm._FilterDatabase" localSheetId="6" hidden="1">'прил 7 (ЦС,ВР 25-26)'!$A$1:$I$440</definedName>
    <definedName name="_xlnm._FilterDatabase" localSheetId="1" hidden="1">'прил.2(пост.безв.24)'!$B$1:$D$413</definedName>
    <definedName name="_xlnm._FilterDatabase" localSheetId="2" hidden="1">'прил.3 (пост.безв.25-26)'!$A$10:$J$57</definedName>
    <definedName name="_xlnm._FilterDatabase" localSheetId="7" hidden="1">'прил8 (ведом 24)'!$A$1:$M$878</definedName>
    <definedName name="_xlnm._FilterDatabase" localSheetId="8" hidden="1">'прил9 (ведом 25-26)'!$A$1:$N$635</definedName>
    <definedName name="Z_168CADD9_CFDC_4445_BFE6_DAD4B9423C72_.wvu.FilterData" localSheetId="5" hidden="1">'прил 6 (ЦС,ВР 24)'!#REF!</definedName>
    <definedName name="Z_168CADD9_CFDC_4445_BFE6_DAD4B9423C72_.wvu.FilterData" localSheetId="6" hidden="1">'прил 7 (ЦС,ВР 25-26)'!#REF!</definedName>
    <definedName name="Z_1F25B6A1_C9F7_11D8_A2FD_006098EF8B30_.wvu.FilterData" localSheetId="5" hidden="1">'прил 6 (ЦС,ВР 24)'!#REF!</definedName>
    <definedName name="Z_1F25B6A1_C9F7_11D8_A2FD_006098EF8B30_.wvu.FilterData" localSheetId="6" hidden="1">'прил 7 (ЦС,ВР 25-26)'!#REF!</definedName>
    <definedName name="Z_29D950F2_21ED_48E6_BFC6_87DD89E0125A_.wvu.FilterData" localSheetId="5" hidden="1">'прил 6 (ЦС,ВР 24)'!#REF!</definedName>
    <definedName name="Z_29D950F2_21ED_48E6_BFC6_87DD89E0125A_.wvu.FilterData" localSheetId="6" hidden="1">'прил 7 (ЦС,ВР 25-26)'!#REF!</definedName>
    <definedName name="Z_2CA7FCD5_27A5_4474_9D49_7A7E23BD2FF9_.wvu.FilterData" localSheetId="5" hidden="1">'прил 6 (ЦС,ВР 24)'!#REF!</definedName>
    <definedName name="Z_2CA7FCD5_27A5_4474_9D49_7A7E23BD2FF9_.wvu.FilterData" localSheetId="6" hidden="1">'прил 7 (ЦС,ВР 25-26)'!#REF!</definedName>
    <definedName name="Z_48E28AC5_4E0A_4FBA_AE6D_340F9E8D4B3C_.wvu.FilterData" localSheetId="5" hidden="1">'прил 6 (ЦС,ВР 24)'!#REF!</definedName>
    <definedName name="Z_48E28AC5_4E0A_4FBA_AE6D_340F9E8D4B3C_.wvu.FilterData" localSheetId="6" hidden="1">'прил 7 (ЦС,ВР 25-26)'!#REF!</definedName>
    <definedName name="Z_6398E0F2_3205_40F4_BF0A_C9F4D0DA9A75_.wvu.FilterData" localSheetId="5" hidden="1">'прил 6 (ЦС,ВР 24)'!#REF!</definedName>
    <definedName name="Z_6398E0F2_3205_40F4_BF0A_C9F4D0DA9A75_.wvu.FilterData" localSheetId="6" hidden="1">'прил 7 (ЦС,ВР 25-26)'!#REF!</definedName>
    <definedName name="Z_64DF1B77_0EDD_4B56_A91C_5E003BE599EF_.wvu.FilterData" localSheetId="5" hidden="1">'прил 6 (ЦС,ВР 24)'!#REF!</definedName>
    <definedName name="Z_64DF1B77_0EDD_4B56_A91C_5E003BE599EF_.wvu.FilterData" localSheetId="6" hidden="1">'прил 7 (ЦС,ВР 25-26)'!#REF!</definedName>
    <definedName name="Z_6786C020_BCF1_463A_B3E9_7DE69D46EAB3_.wvu.FilterData" localSheetId="5" hidden="1">'прил 6 (ЦС,ВР 24)'!#REF!</definedName>
    <definedName name="Z_6786C020_BCF1_463A_B3E9_7DE69D46EAB3_.wvu.FilterData" localSheetId="6" hidden="1">'прил 7 (ЦС,ВР 25-26)'!#REF!</definedName>
    <definedName name="Z_8E2E7D81_C767_11D8_A2FD_006098EF8B30_.wvu.FilterData" localSheetId="5" hidden="1">'прил 6 (ЦС,ВР 24)'!#REF!</definedName>
    <definedName name="Z_8E2E7D81_C767_11D8_A2FD_006098EF8B30_.wvu.FilterData" localSheetId="6" hidden="1">'прил 7 (ЦС,ВР 25-26)'!#REF!</definedName>
    <definedName name="Z_97D0CDFA_8A34_4B3C_BA32_D4F0E3218B75_.wvu.FilterData" localSheetId="5" hidden="1">'прил 6 (ЦС,ВР 24)'!#REF!</definedName>
    <definedName name="Z_97D0CDFA_8A34_4B3C_BA32_D4F0E3218B75_.wvu.FilterData" localSheetId="6" hidden="1">'прил 7 (ЦС,ВР 25-26)'!#REF!</definedName>
    <definedName name="Z_B246FE0E_E986_4211_B02A_04E4565C0FED_.wvu.Cols" localSheetId="5" hidden="1">'прил 6 (ЦС,ВР 24)'!$A:$A,'прил 6 (ЦС,ВР 24)'!#REF!</definedName>
    <definedName name="Z_B246FE0E_E986_4211_B02A_04E4565C0FED_.wvu.Cols" localSheetId="6" hidden="1">'прил 7 (ЦС,ВР 25-26)'!$A:$A,'прил 7 (ЦС,ВР 25-26)'!#REF!</definedName>
    <definedName name="Z_B246FE0E_E986_4211_B02A_04E4565C0FED_.wvu.FilterData" localSheetId="5" hidden="1">'прил 6 (ЦС,ВР 24)'!#REF!</definedName>
    <definedName name="Z_B246FE0E_E986_4211_B02A_04E4565C0FED_.wvu.FilterData" localSheetId="6" hidden="1">'прил 7 (ЦС,ВР 25-26)'!#REF!</definedName>
    <definedName name="Z_B246FE0E_E986_4211_B02A_04E4565C0FED_.wvu.PrintArea" localSheetId="5" hidden="1">'прил 6 (ЦС,ВР 24)'!#REF!</definedName>
    <definedName name="Z_B246FE0E_E986_4211_B02A_04E4565C0FED_.wvu.PrintArea" localSheetId="6" hidden="1">'прил 7 (ЦС,ВР 25-26)'!#REF!</definedName>
    <definedName name="Z_B246FE0E_E986_4211_B02A_04E4565C0FED_.wvu.PrintTitles" localSheetId="5" hidden="1">'прил 6 (ЦС,ВР 24)'!#REF!</definedName>
    <definedName name="Z_B246FE0E_E986_4211_B02A_04E4565C0FED_.wvu.PrintTitles" localSheetId="6" hidden="1">'прил 7 (ЦС,ВР 25-26)'!#REF!</definedName>
    <definedName name="Z_C54CDF8B_FA5C_4A02_B343_3FEFD9721392_.wvu.FilterData" localSheetId="5" hidden="1">'прил 6 (ЦС,ВР 24)'!#REF!</definedName>
    <definedName name="Z_C54CDF8B_FA5C_4A02_B343_3FEFD9721392_.wvu.FilterData" localSheetId="6" hidden="1">'прил 7 (ЦС,ВР 25-26)'!#REF!</definedName>
    <definedName name="Z_D7174C22_B878_4584_A218_37ED88979064_.wvu.FilterData" localSheetId="5" hidden="1">'прил 6 (ЦС,ВР 24)'!#REF!</definedName>
    <definedName name="Z_D7174C22_B878_4584_A218_37ED88979064_.wvu.FilterData" localSheetId="6" hidden="1">'прил 7 (ЦС,ВР 25-26)'!#REF!</definedName>
    <definedName name="Z_DD7538FB_7299_4DEE_90D5_2739132A1616_.wvu.FilterData" localSheetId="5" hidden="1">'прил 6 (ЦС,ВР 24)'!#REF!</definedName>
    <definedName name="Z_DD7538FB_7299_4DEE_90D5_2739132A1616_.wvu.FilterData" localSheetId="6" hidden="1">'прил 7 (ЦС,ВР 25-26)'!#REF!</definedName>
    <definedName name="Z_E4B436A8_4A5B_422F_8C0E_9267F763D19D_.wvu.FilterData" localSheetId="5" hidden="1">'прил 6 (ЦС,ВР 24)'!#REF!</definedName>
    <definedName name="Z_E4B436A8_4A5B_422F_8C0E_9267F763D19D_.wvu.FilterData" localSheetId="6" hidden="1">'прил 7 (ЦС,ВР 25-26)'!#REF!</definedName>
    <definedName name="Z_E6BB4361_1D58_11D9_A2FD_006098EF8B30_.wvu.FilterData" localSheetId="5" hidden="1">'прил 6 (ЦС,ВР 24)'!#REF!</definedName>
    <definedName name="Z_E6BB4361_1D58_11D9_A2FD_006098EF8B30_.wvu.FilterData" localSheetId="6" hidden="1">'прил 7 (ЦС,ВР 25-26)'!#REF!</definedName>
    <definedName name="Z_EF486DA3_1DF3_11D9_A2FD_006098EF8B30_.wvu.FilterData" localSheetId="5" hidden="1">'прил 6 (ЦС,ВР 24)'!#REF!</definedName>
    <definedName name="Z_EF486DA3_1DF3_11D9_A2FD_006098EF8B30_.wvu.FilterData" localSheetId="6" hidden="1">'прил 7 (ЦС,ВР 25-26)'!#REF!</definedName>
    <definedName name="Z_EF486DA8_1DF3_11D9_A2FD_006098EF8B30_.wvu.FilterData" localSheetId="5" hidden="1">'прил 6 (ЦС,ВР 24)'!#REF!</definedName>
    <definedName name="Z_EF486DA8_1DF3_11D9_A2FD_006098EF8B30_.wvu.FilterData" localSheetId="6" hidden="1">'прил 7 (ЦС,ВР 25-26)'!#REF!</definedName>
    <definedName name="Z_EF486DAA_1DF3_11D9_A2FD_006098EF8B30_.wvu.FilterData" localSheetId="5" hidden="1">'прил 6 (ЦС,ВР 24)'!#REF!</definedName>
    <definedName name="Z_EF486DAA_1DF3_11D9_A2FD_006098EF8B30_.wvu.FilterData" localSheetId="6" hidden="1">'прил 7 (ЦС,ВР 25-26)'!#REF!</definedName>
    <definedName name="Z_EF486DAC_1DF3_11D9_A2FD_006098EF8B30_.wvu.FilterData" localSheetId="5" hidden="1">'прил 6 (ЦС,ВР 24)'!#REF!</definedName>
    <definedName name="Z_EF486DAC_1DF3_11D9_A2FD_006098EF8B30_.wvu.FilterData" localSheetId="6" hidden="1">'прил 7 (ЦС,ВР 25-26)'!#REF!</definedName>
    <definedName name="Z_EF5A4981_C8E4_11D8_A2FC_006098EF8BA8_.wvu.Cols" localSheetId="5" hidden="1">'прил 6 (ЦС,ВР 24)'!$A:$A,'прил 6 (ЦС,ВР 24)'!#REF!,'прил 6 (ЦС,ВР 24)'!#REF!</definedName>
    <definedName name="Z_EF5A4981_C8E4_11D8_A2FC_006098EF8BA8_.wvu.Cols" localSheetId="6" hidden="1">'прил 7 (ЦС,ВР 25-26)'!$A:$A,'прил 7 (ЦС,ВР 25-26)'!#REF!,'прил 7 (ЦС,ВР 25-26)'!#REF!</definedName>
    <definedName name="Z_EF5A4981_C8E4_11D8_A2FC_006098EF8BA8_.wvu.FilterData" localSheetId="5" hidden="1">'прил 6 (ЦС,ВР 24)'!#REF!</definedName>
    <definedName name="Z_EF5A4981_C8E4_11D8_A2FC_006098EF8BA8_.wvu.FilterData" localSheetId="6" hidden="1">'прил 7 (ЦС,ВР 25-26)'!#REF!</definedName>
    <definedName name="Z_EF5A4981_C8E4_11D8_A2FC_006098EF8BA8_.wvu.PrintArea" localSheetId="5" hidden="1">'прил 6 (ЦС,ВР 24)'!#REF!</definedName>
    <definedName name="Z_EF5A4981_C8E4_11D8_A2FC_006098EF8BA8_.wvu.PrintArea" localSheetId="6" hidden="1">'прил 7 (ЦС,ВР 25-26)'!#REF!</definedName>
    <definedName name="Z_EF5A4981_C8E4_11D8_A2FC_006098EF8BA8_.wvu.PrintTitles" localSheetId="5" hidden="1">'прил 6 (ЦС,ВР 24)'!#REF!</definedName>
    <definedName name="Z_EF5A4981_C8E4_11D8_A2FC_006098EF8BA8_.wvu.PrintTitles" localSheetId="6" hidden="1">'прил 7 (ЦС,ВР 25-26)'!#REF!</definedName>
    <definedName name="_xlnm.Print_Titles" localSheetId="4">'прил 5 (Рз,ПР 24-26)'!$11:$11</definedName>
    <definedName name="_xlnm.Print_Titles" localSheetId="5">'прил 6 (ЦС,ВР 24)'!$9:$9</definedName>
    <definedName name="_xlnm.Print_Titles" localSheetId="6">'прил 7 (ЦС,ВР 25-26)'!$10:$10</definedName>
    <definedName name="_xlnm.Print_Titles" localSheetId="0">'прил. 1 (поступл.24-26)'!$11:$11</definedName>
    <definedName name="_xlnm.Print_Titles" localSheetId="9">'прил.10 (Источники 24-26)'!$10:$10</definedName>
    <definedName name="_xlnm.Print_Titles" localSheetId="12">'прил.13 мун.внутр.заим.24-26)'!$31:$31</definedName>
    <definedName name="_xlnm.Print_Titles" localSheetId="1">'прил.2(пост.безв.24)'!$10:$10</definedName>
    <definedName name="_xlnm.Print_Titles" localSheetId="2">'прил.3 (пост.безв.25-26)'!$10:$10</definedName>
    <definedName name="_xlnm.Print_Titles" localSheetId="3">'прил.4 (безв.от пос.24) '!$9:$9</definedName>
    <definedName name="_xlnm.Print_Titles" localSheetId="7">'прил8 (ведом 24)'!$10:$10</definedName>
    <definedName name="_xlnm.Print_Titles" localSheetId="8">'прил9 (ведом 25-26)'!$12:$12</definedName>
    <definedName name="_xlnm.Print_Area" localSheetId="4">'прил 5 (Рз,ПР 24-26)'!$A$1:$F$63</definedName>
    <definedName name="_xlnm.Print_Area" localSheetId="5">'прил 6 (ЦС,ВР 24)'!$A$1:$H$556</definedName>
    <definedName name="_xlnm.Print_Area" localSheetId="6">'прил 7 (ЦС,ВР 25-26)'!$A$1:$I$427</definedName>
    <definedName name="_xlnm.Print_Area" localSheetId="0">'прил. 1 (поступл.24-26)'!$A$1:$E$51</definedName>
    <definedName name="_xlnm.Print_Area" localSheetId="9">'прил.10 (Источники 24-26)'!$A$1:$E$32</definedName>
    <definedName name="_xlnm.Print_Area" localSheetId="10">'прил.11 (безв.всего 23-25)'!$A$1:$D$18</definedName>
    <definedName name="_xlnm.Print_Area" localSheetId="11">'прил.12 (дотация 24-26)'!$A$1:$H$26</definedName>
    <definedName name="_xlnm.Print_Area" localSheetId="12">'прил.13 мун.внутр.заим.24-26)'!$A$1:$D$48</definedName>
    <definedName name="_xlnm.Print_Area" localSheetId="1">'прил.2(пост.безв.24)'!$A$1:$C$81</definedName>
    <definedName name="_xlnm.Print_Area" localSheetId="2">'прил.3 (пост.безв.25-26)'!$A$1:$D$63</definedName>
    <definedName name="_xlnm.Print_Area" localSheetId="3">'прил.4 (безв.от пос.24) '!$A$1:$C$48</definedName>
    <definedName name="_xlnm.Print_Area" localSheetId="7">'прил8 (ведом 24)'!$A$1:$M$768</definedName>
    <definedName name="_xlnm.Print_Area" localSheetId="8">'прил9 (ведом 25-26)'!$A$1:$N$572</definedName>
  </definedNames>
  <calcPr calcId="145621"/>
</workbook>
</file>

<file path=xl/calcChain.xml><?xml version="1.0" encoding="utf-8"?>
<calcChain xmlns="http://schemas.openxmlformats.org/spreadsheetml/2006/main">
  <c r="M606" i="3" l="1"/>
  <c r="M609" i="3"/>
  <c r="M439" i="3" l="1"/>
  <c r="M547" i="3" l="1"/>
  <c r="M482" i="3"/>
  <c r="M19" i="3"/>
  <c r="I325" i="18" l="1"/>
  <c r="I324" i="18" s="1"/>
  <c r="I323" i="18" s="1"/>
  <c r="I322" i="18" s="1"/>
  <c r="I321" i="18" s="1"/>
  <c r="H325" i="18"/>
  <c r="H324" i="18" s="1"/>
  <c r="H323" i="18" s="1"/>
  <c r="H322" i="18" s="1"/>
  <c r="H321" i="18" s="1"/>
  <c r="N28" i="19"/>
  <c r="M28" i="19"/>
  <c r="M55" i="19"/>
  <c r="M54" i="19" s="1"/>
  <c r="M53" i="19" s="1"/>
  <c r="M52" i="19" s="1"/>
  <c r="N55" i="19"/>
  <c r="N54" i="19" s="1"/>
  <c r="N53" i="19" s="1"/>
  <c r="N52" i="19" s="1"/>
  <c r="L56" i="19"/>
  <c r="L55" i="19" s="1"/>
  <c r="L54" i="19" s="1"/>
  <c r="L53" i="19" s="1"/>
  <c r="L52" i="19" s="1"/>
  <c r="H420" i="7"/>
  <c r="H419" i="7" s="1"/>
  <c r="H418" i="7" s="1"/>
  <c r="M56" i="3"/>
  <c r="M55" i="3" s="1"/>
  <c r="M54" i="3" s="1"/>
  <c r="M53" i="3" s="1"/>
  <c r="L57" i="3"/>
  <c r="L56" i="3" s="1"/>
  <c r="L55" i="3" s="1"/>
  <c r="L54" i="3" s="1"/>
  <c r="L53" i="3" s="1"/>
  <c r="M570" i="3" l="1"/>
  <c r="M312" i="3" l="1"/>
  <c r="H322" i="7" l="1"/>
  <c r="H321" i="7" s="1"/>
  <c r="B13" i="9"/>
  <c r="M259" i="3"/>
  <c r="M258" i="3" s="1"/>
  <c r="M257" i="3" s="1"/>
  <c r="M256" i="3" s="1"/>
  <c r="M255" i="3" s="1"/>
  <c r="L260" i="3"/>
  <c r="L259" i="3" s="1"/>
  <c r="L258" i="3" s="1"/>
  <c r="L257" i="3" s="1"/>
  <c r="L256" i="3" s="1"/>
  <c r="L255" i="3" s="1"/>
  <c r="H407" i="7" l="1"/>
  <c r="H406" i="7" s="1"/>
  <c r="H405" i="7" s="1"/>
  <c r="M189" i="3" l="1"/>
  <c r="M188" i="3" s="1"/>
  <c r="M187" i="3" s="1"/>
  <c r="M186" i="3" s="1"/>
  <c r="M185" i="3" s="1"/>
  <c r="M806" i="3" s="1"/>
  <c r="D44" i="6" s="1"/>
  <c r="L190" i="3"/>
  <c r="L189" i="3" s="1"/>
  <c r="L188" i="3" s="1"/>
  <c r="L187" i="3" s="1"/>
  <c r="L186" i="3" s="1"/>
  <c r="L185" i="3" s="1"/>
  <c r="M305" i="3" l="1"/>
  <c r="M719" i="3" l="1"/>
  <c r="M674" i="3"/>
  <c r="M630" i="3"/>
  <c r="M622" i="3"/>
  <c r="M438" i="3"/>
  <c r="M412" i="3"/>
  <c r="M488" i="3"/>
  <c r="M548" i="3"/>
  <c r="M516" i="3"/>
  <c r="M433" i="3"/>
  <c r="M429" i="3"/>
  <c r="M428" i="3"/>
  <c r="M530" i="3"/>
  <c r="M298" i="3"/>
  <c r="M323" i="3"/>
  <c r="M313" i="3"/>
  <c r="M83" i="3"/>
  <c r="H513" i="7" s="1"/>
  <c r="M74" i="3"/>
  <c r="M25" i="3"/>
  <c r="M176" i="3"/>
  <c r="M175" i="3" s="1"/>
  <c r="L177" i="3"/>
  <c r="L176" i="3" s="1"/>
  <c r="L175" i="3" s="1"/>
  <c r="M82" i="3" l="1"/>
  <c r="M627" i="3" l="1"/>
  <c r="M626" i="3"/>
  <c r="M299" i="3"/>
  <c r="H46" i="7"/>
  <c r="M356" i="3"/>
  <c r="L357" i="3"/>
  <c r="L356" i="3" s="1"/>
  <c r="M430" i="3"/>
  <c r="H546" i="7" l="1"/>
  <c r="H545" i="7" s="1"/>
  <c r="M213" i="3"/>
  <c r="M212" i="3" s="1"/>
  <c r="M211" i="3" s="1"/>
  <c r="L214" i="3"/>
  <c r="L213" i="3" s="1"/>
  <c r="L212" i="3" s="1"/>
  <c r="L211" i="3" s="1"/>
  <c r="C16" i="2"/>
  <c r="C76" i="2" l="1"/>
  <c r="C74" i="2" s="1"/>
  <c r="H62" i="7" l="1"/>
  <c r="H61" i="7" s="1"/>
  <c r="M453" i="3"/>
  <c r="L454" i="3"/>
  <c r="L453" i="3" s="1"/>
  <c r="C73" i="2" l="1"/>
  <c r="H158" i="7"/>
  <c r="H157" i="7" s="1"/>
  <c r="M575" i="3"/>
  <c r="L576" i="3"/>
  <c r="L575" i="3" s="1"/>
  <c r="I294" i="18"/>
  <c r="I293" i="18" s="1"/>
  <c r="H294" i="18"/>
  <c r="H293" i="18" s="1"/>
  <c r="N545" i="19"/>
  <c r="M545" i="19"/>
  <c r="L546" i="19"/>
  <c r="L545" i="19" s="1"/>
  <c r="N260" i="19"/>
  <c r="M260" i="19"/>
  <c r="N234" i="19"/>
  <c r="M234" i="19"/>
  <c r="H379" i="7"/>
  <c r="H378" i="7" s="1"/>
  <c r="M741" i="3"/>
  <c r="L742" i="3"/>
  <c r="L741" i="3" s="1"/>
  <c r="H127" i="7"/>
  <c r="H126" i="7" s="1"/>
  <c r="L524" i="3"/>
  <c r="L523" i="3" s="1"/>
  <c r="M523" i="3"/>
  <c r="K523" i="3"/>
  <c r="M372" i="3"/>
  <c r="M318" i="3"/>
  <c r="H539" i="7"/>
  <c r="H538" i="7" s="1"/>
  <c r="H537" i="7" s="1"/>
  <c r="H536" i="7" s="1"/>
  <c r="H535" i="7" s="1"/>
  <c r="H544" i="7"/>
  <c r="H543" i="7" s="1"/>
  <c r="M209" i="3"/>
  <c r="M208" i="3" s="1"/>
  <c r="M207" i="3" s="1"/>
  <c r="M206" i="3" s="1"/>
  <c r="L210" i="3"/>
  <c r="L209" i="3" s="1"/>
  <c r="L208" i="3" s="1"/>
  <c r="L207" i="3" s="1"/>
  <c r="L206" i="3" s="1"/>
  <c r="M51" i="3"/>
  <c r="M89" i="3"/>
  <c r="M88" i="3" s="1"/>
  <c r="M87" i="3" s="1"/>
  <c r="L90" i="3"/>
  <c r="L89" i="3" s="1"/>
  <c r="L88" i="3" s="1"/>
  <c r="L87" i="3" s="1"/>
  <c r="L205" i="3" l="1"/>
  <c r="L204" i="3" s="1"/>
  <c r="M205" i="3"/>
  <c r="K567" i="19"/>
  <c r="K566" i="19" s="1"/>
  <c r="K563" i="19"/>
  <c r="K560" i="19"/>
  <c r="K557" i="19"/>
  <c r="K550" i="19"/>
  <c r="K547" i="19"/>
  <c r="K542" i="19"/>
  <c r="K539" i="19"/>
  <c r="K529" i="19"/>
  <c r="K528" i="19" s="1"/>
  <c r="K527" i="19" s="1"/>
  <c r="K526" i="19" s="1"/>
  <c r="K525" i="19" s="1"/>
  <c r="K524" i="19" s="1"/>
  <c r="K520" i="19"/>
  <c r="K519" i="19" s="1"/>
  <c r="K518" i="19" s="1"/>
  <c r="K517" i="19" s="1"/>
  <c r="K516" i="19" s="1"/>
  <c r="K513" i="19"/>
  <c r="K512" i="19" s="1"/>
  <c r="K510" i="19"/>
  <c r="K509" i="19" s="1"/>
  <c r="K507" i="19"/>
  <c r="K506" i="19" s="1"/>
  <c r="K496" i="19"/>
  <c r="K495" i="19" s="1"/>
  <c r="K494" i="19" s="1"/>
  <c r="K493" i="19" s="1"/>
  <c r="K492" i="19" s="1"/>
  <c r="K491" i="19"/>
  <c r="K490" i="19" s="1"/>
  <c r="K488" i="19"/>
  <c r="K486" i="19"/>
  <c r="K484" i="19"/>
  <c r="K482" i="19" s="1"/>
  <c r="K478" i="19"/>
  <c r="K477" i="19" s="1"/>
  <c r="K476" i="19" s="1"/>
  <c r="K472" i="19"/>
  <c r="K471" i="19" s="1"/>
  <c r="K470" i="19" s="1"/>
  <c r="K469" i="19" s="1"/>
  <c r="K468" i="19" s="1"/>
  <c r="K466" i="19"/>
  <c r="K462" i="19"/>
  <c r="K455" i="19"/>
  <c r="K454" i="19" s="1"/>
  <c r="K453" i="19" s="1"/>
  <c r="K452" i="19" s="1"/>
  <c r="K451" i="19" s="1"/>
  <c r="K450" i="19" s="1"/>
  <c r="K444" i="19"/>
  <c r="K440" i="19"/>
  <c r="K435" i="19"/>
  <c r="K434" i="19" s="1"/>
  <c r="K433" i="19"/>
  <c r="K432" i="19" s="1"/>
  <c r="K428" i="19"/>
  <c r="K427" i="19" s="1"/>
  <c r="K426" i="19"/>
  <c r="K425" i="19" s="1"/>
  <c r="K424" i="19"/>
  <c r="K423" i="19" s="1"/>
  <c r="K422" i="19"/>
  <c r="K421" i="19" s="1"/>
  <c r="K414" i="19"/>
  <c r="K413" i="19" s="1"/>
  <c r="K412" i="19" s="1"/>
  <c r="K411" i="19" s="1"/>
  <c r="K410" i="19" s="1"/>
  <c r="K408" i="19"/>
  <c r="K406" i="19"/>
  <c r="K399" i="19"/>
  <c r="K398" i="19" s="1"/>
  <c r="K397" i="19" s="1"/>
  <c r="K396" i="19" s="1"/>
  <c r="K395" i="19" s="1"/>
  <c r="K394" i="19" s="1"/>
  <c r="K390" i="19"/>
  <c r="K386" i="19"/>
  <c r="K378" i="19"/>
  <c r="K377" i="19" s="1"/>
  <c r="K376" i="19" s="1"/>
  <c r="K375" i="19" s="1"/>
  <c r="K374" i="19" s="1"/>
  <c r="K373" i="19" s="1"/>
  <c r="K371" i="19"/>
  <c r="K370" i="19" s="1"/>
  <c r="K367" i="19"/>
  <c r="K362" i="19"/>
  <c r="K358" i="19"/>
  <c r="K352" i="19"/>
  <c r="K350" i="19"/>
  <c r="K347" i="19"/>
  <c r="K346" i="19"/>
  <c r="K345" i="19" s="1"/>
  <c r="K343" i="19"/>
  <c r="K341" i="19"/>
  <c r="K335" i="19"/>
  <c r="K334" i="19" s="1"/>
  <c r="K333" i="19" s="1"/>
  <c r="K330" i="19"/>
  <c r="K329" i="19" s="1"/>
  <c r="K325" i="19"/>
  <c r="K322" i="19"/>
  <c r="K319" i="19"/>
  <c r="K317" i="19"/>
  <c r="K314" i="19"/>
  <c r="K310" i="19"/>
  <c r="K306" i="19"/>
  <c r="K303" i="19"/>
  <c r="K300" i="19"/>
  <c r="K295" i="19"/>
  <c r="K289" i="19"/>
  <c r="K287" i="19"/>
  <c r="K285" i="19"/>
  <c r="K283" i="19"/>
  <c r="K276" i="19"/>
  <c r="K275" i="19" s="1"/>
  <c r="K273" i="19"/>
  <c r="K272" i="19" s="1"/>
  <c r="K270" i="19"/>
  <c r="K269" i="19" s="1"/>
  <c r="K261" i="19"/>
  <c r="K259" i="19"/>
  <c r="K252" i="19"/>
  <c r="K251" i="19" s="1"/>
  <c r="K250" i="19" s="1"/>
  <c r="K249" i="19" s="1"/>
  <c r="K248" i="19" s="1"/>
  <c r="K246" i="19"/>
  <c r="K245" i="19" s="1"/>
  <c r="K244" i="19" s="1"/>
  <c r="K243" i="19" s="1"/>
  <c r="K242" i="19" s="1"/>
  <c r="K239" i="19"/>
  <c r="K238" i="19"/>
  <c r="K237" i="19" s="1"/>
  <c r="K236" i="19" s="1"/>
  <c r="K235" i="19" s="1"/>
  <c r="K233" i="19"/>
  <c r="K232" i="19" s="1"/>
  <c r="K231" i="19" s="1"/>
  <c r="K229" i="19"/>
  <c r="K228" i="19" s="1"/>
  <c r="K226" i="19"/>
  <c r="K225" i="19" s="1"/>
  <c r="K223" i="19"/>
  <c r="K220" i="19"/>
  <c r="K219" i="19" s="1"/>
  <c r="K216" i="19"/>
  <c r="K215" i="19" s="1"/>
  <c r="K211" i="19"/>
  <c r="K210" i="19" s="1"/>
  <c r="K209" i="19" s="1"/>
  <c r="K201" i="19"/>
  <c r="K200" i="19" s="1"/>
  <c r="K199" i="19" s="1"/>
  <c r="K198" i="19" s="1"/>
  <c r="K197" i="19" s="1"/>
  <c r="K196" i="19" s="1"/>
  <c r="K195" i="19" s="1"/>
  <c r="K192" i="19"/>
  <c r="K191" i="19" s="1"/>
  <c r="K190" i="19" s="1"/>
  <c r="K189" i="19" s="1"/>
  <c r="K188" i="19" s="1"/>
  <c r="K187" i="19" s="1"/>
  <c r="K185" i="19"/>
  <c r="K184" i="19" s="1"/>
  <c r="K183" i="19" s="1"/>
  <c r="K182" i="19" s="1"/>
  <c r="K181" i="19" s="1"/>
  <c r="K180" i="19" s="1"/>
  <c r="K178" i="19"/>
  <c r="K177" i="19" s="1"/>
  <c r="K175" i="19"/>
  <c r="K174" i="19" s="1"/>
  <c r="K168" i="19"/>
  <c r="K167" i="19" s="1"/>
  <c r="K166" i="19" s="1"/>
  <c r="K165" i="19" s="1"/>
  <c r="K164" i="19" s="1"/>
  <c r="K163" i="19" s="1"/>
  <c r="K158" i="19"/>
  <c r="K157" i="19" s="1"/>
  <c r="K156" i="19" s="1"/>
  <c r="K155" i="19" s="1"/>
  <c r="K154" i="19" s="1"/>
  <c r="K152" i="19"/>
  <c r="K151" i="19" s="1"/>
  <c r="K150" i="19" s="1"/>
  <c r="K149" i="19" s="1"/>
  <c r="K148" i="19" s="1"/>
  <c r="K145" i="19"/>
  <c r="K144" i="19" s="1"/>
  <c r="K143" i="19" s="1"/>
  <c r="K142" i="19" s="1"/>
  <c r="K141" i="19" s="1"/>
  <c r="K140" i="19" s="1"/>
  <c r="K138" i="19"/>
  <c r="K137" i="19" s="1"/>
  <c r="K136" i="19" s="1"/>
  <c r="K135" i="19" s="1"/>
  <c r="K133" i="19"/>
  <c r="K132" i="19" s="1"/>
  <c r="K131" i="19" s="1"/>
  <c r="K129" i="19"/>
  <c r="K128" i="19" s="1"/>
  <c r="K127" i="19" s="1"/>
  <c r="K123" i="19"/>
  <c r="K122" i="19" s="1"/>
  <c r="K121" i="19" s="1"/>
  <c r="K120" i="19" s="1"/>
  <c r="K119" i="19" s="1"/>
  <c r="K117" i="19"/>
  <c r="K116" i="19" s="1"/>
  <c r="K114" i="19"/>
  <c r="K113" i="19" s="1"/>
  <c r="K107" i="19"/>
  <c r="K106" i="19" s="1"/>
  <c r="K105" i="19" s="1"/>
  <c r="K101" i="19"/>
  <c r="K100" i="19" s="1"/>
  <c r="K99" i="19" s="1"/>
  <c r="K97" i="19"/>
  <c r="K96" i="19" s="1"/>
  <c r="K94" i="19"/>
  <c r="K93" i="19" s="1"/>
  <c r="K88" i="19"/>
  <c r="K86" i="19"/>
  <c r="K77" i="19"/>
  <c r="K76" i="19" s="1"/>
  <c r="K74" i="19"/>
  <c r="K72" i="19"/>
  <c r="K68" i="19"/>
  <c r="K67" i="19" s="1"/>
  <c r="K65" i="19"/>
  <c r="K64" i="19" s="1"/>
  <c r="K60" i="19"/>
  <c r="K59" i="19" s="1"/>
  <c r="K58" i="19" s="1"/>
  <c r="K57" i="19" s="1"/>
  <c r="K50" i="19"/>
  <c r="K49" i="19" s="1"/>
  <c r="K48" i="19" s="1"/>
  <c r="K47" i="19" s="1"/>
  <c r="K46" i="19" s="1"/>
  <c r="K44" i="19"/>
  <c r="K43" i="19" s="1"/>
  <c r="K42" i="19" s="1"/>
  <c r="K41" i="19" s="1"/>
  <c r="K40" i="19" s="1"/>
  <c r="K37" i="19"/>
  <c r="K34" i="19"/>
  <c r="K32" i="19"/>
  <c r="K30" i="19"/>
  <c r="K26" i="19"/>
  <c r="K20" i="19"/>
  <c r="K19" i="19" s="1"/>
  <c r="K18" i="19" s="1"/>
  <c r="K17" i="19" s="1"/>
  <c r="K16" i="19" s="1"/>
  <c r="K759" i="3"/>
  <c r="K756" i="3"/>
  <c r="K753" i="3"/>
  <c r="K746" i="3"/>
  <c r="K743" i="3"/>
  <c r="K738" i="3"/>
  <c r="K735" i="3"/>
  <c r="K725" i="3"/>
  <c r="K724" i="3" s="1"/>
  <c r="K723" i="3" s="1"/>
  <c r="K722" i="3" s="1"/>
  <c r="K721" i="3" s="1"/>
  <c r="K720" i="3" s="1"/>
  <c r="K719" i="3"/>
  <c r="K718" i="3" s="1"/>
  <c r="K714" i="3"/>
  <c r="K707" i="3"/>
  <c r="K706" i="3" s="1"/>
  <c r="K704" i="3"/>
  <c r="K703" i="3" s="1"/>
  <c r="K701" i="3"/>
  <c r="K700" i="3" s="1"/>
  <c r="K698" i="3"/>
  <c r="K697" i="3" s="1"/>
  <c r="K687" i="3"/>
  <c r="K686" i="3" s="1"/>
  <c r="K685" i="3" s="1"/>
  <c r="K684" i="3" s="1"/>
  <c r="K683" i="3" s="1"/>
  <c r="K682" i="3"/>
  <c r="K681" i="3" s="1"/>
  <c r="K679" i="3"/>
  <c r="K678" i="3"/>
  <c r="K677" i="3" s="1"/>
  <c r="K675" i="3"/>
  <c r="K674" i="3"/>
  <c r="K669" i="3"/>
  <c r="K668" i="3" s="1"/>
  <c r="K667" i="3" s="1"/>
  <c r="K664" i="3"/>
  <c r="K663" i="3" s="1"/>
  <c r="K661" i="3"/>
  <c r="K658" i="3"/>
  <c r="K657" i="3" s="1"/>
  <c r="K656" i="3" s="1"/>
  <c r="K655" i="3" s="1"/>
  <c r="K651" i="3"/>
  <c r="K650" i="3"/>
  <c r="K647" i="3" s="1"/>
  <c r="K640" i="3"/>
  <c r="K639" i="3" s="1"/>
  <c r="K638" i="3" s="1"/>
  <c r="K637" i="3" s="1"/>
  <c r="K636" i="3" s="1"/>
  <c r="K635" i="3" s="1"/>
  <c r="K631" i="3"/>
  <c r="K630" i="3"/>
  <c r="K625" i="3"/>
  <c r="K621" i="3"/>
  <c r="K620" i="3" s="1"/>
  <c r="K619" i="3" s="1"/>
  <c r="K616" i="3"/>
  <c r="K615" i="3" s="1"/>
  <c r="K613" i="3"/>
  <c r="K612" i="3"/>
  <c r="K609" i="3"/>
  <c r="K608" i="3" s="1"/>
  <c r="K606" i="3"/>
  <c r="K605" i="3"/>
  <c r="K602" i="3"/>
  <c r="K601" i="3" s="1"/>
  <c r="K599" i="3"/>
  <c r="K598" i="3"/>
  <c r="K597" i="3" s="1"/>
  <c r="K596" i="3"/>
  <c r="K595" i="3" s="1"/>
  <c r="K594" i="3"/>
  <c r="K593" i="3" s="1"/>
  <c r="K586" i="3"/>
  <c r="K585" i="3" s="1"/>
  <c r="K583" i="3"/>
  <c r="K582" i="3" s="1"/>
  <c r="K578" i="3"/>
  <c r="K577" i="3" s="1"/>
  <c r="K574" i="3"/>
  <c r="K573" i="3" s="1"/>
  <c r="K572" i="3"/>
  <c r="K571" i="3" s="1"/>
  <c r="K570" i="3"/>
  <c r="K569" i="3" s="1"/>
  <c r="K562" i="3"/>
  <c r="K561" i="3" s="1"/>
  <c r="K559" i="3"/>
  <c r="K558" i="3" s="1"/>
  <c r="K550" i="3"/>
  <c r="K549" i="3"/>
  <c r="K548" i="3"/>
  <c r="K547" i="3"/>
  <c r="K538" i="3"/>
  <c r="K537" i="3" s="1"/>
  <c r="K536" i="3" s="1"/>
  <c r="K535" i="3" s="1"/>
  <c r="K534" i="3" s="1"/>
  <c r="K533" i="3" s="1"/>
  <c r="K531" i="3"/>
  <c r="K529" i="3"/>
  <c r="K525" i="3"/>
  <c r="K522" i="3"/>
  <c r="K520" i="3" s="1"/>
  <c r="K518" i="3"/>
  <c r="K517" i="3"/>
  <c r="K516" i="3"/>
  <c r="K513" i="3"/>
  <c r="K511" i="3" s="1"/>
  <c r="K512" i="3"/>
  <c r="K507" i="3"/>
  <c r="K506" i="3" s="1"/>
  <c r="K505" i="3" s="1"/>
  <c r="K501" i="3"/>
  <c r="K500" i="3" s="1"/>
  <c r="K499" i="3" s="1"/>
  <c r="K498" i="3" s="1"/>
  <c r="K497" i="3" s="1"/>
  <c r="K494" i="3"/>
  <c r="K492" i="3"/>
  <c r="K489" i="3"/>
  <c r="K487" i="3"/>
  <c r="K486" i="3"/>
  <c r="K485" i="3" s="1"/>
  <c r="K483" i="3"/>
  <c r="K481" i="3"/>
  <c r="K475" i="3"/>
  <c r="K474" i="3" s="1"/>
  <c r="K473" i="3" s="1"/>
  <c r="K470" i="3"/>
  <c r="K469" i="3" s="1"/>
  <c r="K465" i="3"/>
  <c r="K463" i="3"/>
  <c r="K460" i="3"/>
  <c r="K459" i="3"/>
  <c r="K458" i="3"/>
  <c r="K455" i="3"/>
  <c r="K450" i="3"/>
  <c r="K446" i="3"/>
  <c r="K442" i="3"/>
  <c r="K440" i="3"/>
  <c r="K439" i="3"/>
  <c r="K438" i="3"/>
  <c r="K436" i="3"/>
  <c r="K435" i="3"/>
  <c r="K433" i="3"/>
  <c r="K431" i="3" s="1"/>
  <c r="K429" i="3"/>
  <c r="K428" i="3"/>
  <c r="K427" i="3"/>
  <c r="K420" i="3"/>
  <c r="K419" i="3" s="1"/>
  <c r="K418" i="3" s="1"/>
  <c r="K417" i="3" s="1"/>
  <c r="K415" i="3"/>
  <c r="K413" i="3"/>
  <c r="K411" i="3"/>
  <c r="K410" i="3"/>
  <c r="K409" i="3" s="1"/>
  <c r="K408" i="3"/>
  <c r="K407" i="3" s="1"/>
  <c r="K405" i="3"/>
  <c r="K398" i="3"/>
  <c r="K397" i="3" s="1"/>
  <c r="K395" i="3"/>
  <c r="K394" i="3" s="1"/>
  <c r="K393" i="3"/>
  <c r="K392" i="3" s="1"/>
  <c r="K391" i="3" s="1"/>
  <c r="K389" i="3"/>
  <c r="K388" i="3" s="1"/>
  <c r="K380" i="3"/>
  <c r="K379" i="3" s="1"/>
  <c r="K378" i="3" s="1"/>
  <c r="K377" i="3" s="1"/>
  <c r="K376" i="3" s="1"/>
  <c r="K375" i="3" s="1"/>
  <c r="K373" i="3"/>
  <c r="K371" i="3"/>
  <c r="K364" i="3"/>
  <c r="K363" i="3" s="1"/>
  <c r="K362" i="3" s="1"/>
  <c r="K361" i="3" s="1"/>
  <c r="K360" i="3" s="1"/>
  <c r="K358" i="3"/>
  <c r="K355" i="3" s="1"/>
  <c r="K354" i="3" s="1"/>
  <c r="K353" i="3" s="1"/>
  <c r="K352" i="3" s="1"/>
  <c r="K351" i="3"/>
  <c r="K350" i="3" s="1"/>
  <c r="K349" i="3"/>
  <c r="K348" i="3" s="1"/>
  <c r="K342" i="3"/>
  <c r="K341" i="3"/>
  <c r="K340" i="3" s="1"/>
  <c r="K339" i="3" s="1"/>
  <c r="K338" i="3" s="1"/>
  <c r="K337" i="3" s="1"/>
  <c r="K336" i="3" s="1"/>
  <c r="K334" i="3"/>
  <c r="K333" i="3" s="1"/>
  <c r="K332" i="3" s="1"/>
  <c r="K331" i="3"/>
  <c r="K330" i="3" s="1"/>
  <c r="K329" i="3" s="1"/>
  <c r="K328" i="3" s="1"/>
  <c r="K324" i="3"/>
  <c r="K323" i="3"/>
  <c r="K322" i="3" s="1"/>
  <c r="K321" i="3" s="1"/>
  <c r="K320" i="3" s="1"/>
  <c r="K319" i="3" s="1"/>
  <c r="K317" i="3"/>
  <c r="K316" i="3" s="1"/>
  <c r="K315" i="3" s="1"/>
  <c r="K314" i="3" s="1"/>
  <c r="K312" i="3"/>
  <c r="K311" i="3" s="1"/>
  <c r="K310" i="3" s="1"/>
  <c r="K309" i="3" s="1"/>
  <c r="K307" i="3"/>
  <c r="K306" i="3" s="1"/>
  <c r="K305" i="3"/>
  <c r="K304" i="3" s="1"/>
  <c r="K303" i="3" s="1"/>
  <c r="K301" i="3"/>
  <c r="K299" i="3"/>
  <c r="K298" i="3"/>
  <c r="K294" i="3"/>
  <c r="K293" i="3" s="1"/>
  <c r="K290" i="3"/>
  <c r="K289" i="3" s="1"/>
  <c r="K288" i="3" s="1"/>
  <c r="K286" i="3"/>
  <c r="K285" i="3" s="1"/>
  <c r="K277" i="3"/>
  <c r="K276" i="3" s="1"/>
  <c r="K275" i="3" s="1"/>
  <c r="K274" i="3" s="1"/>
  <c r="K273" i="3" s="1"/>
  <c r="K271" i="3"/>
  <c r="K269" i="3"/>
  <c r="K268" i="3"/>
  <c r="K253" i="3"/>
  <c r="K252" i="3" s="1"/>
  <c r="K251" i="3" s="1"/>
  <c r="K250" i="3" s="1"/>
  <c r="K249" i="3" s="1"/>
  <c r="K248" i="3" s="1"/>
  <c r="K246" i="3"/>
  <c r="K245" i="3" s="1"/>
  <c r="K244" i="3" s="1"/>
  <c r="K243" i="3" s="1"/>
  <c r="K242" i="3" s="1"/>
  <c r="K241" i="3" s="1"/>
  <c r="K239" i="3"/>
  <c r="K238" i="3" s="1"/>
  <c r="K236" i="3"/>
  <c r="K235" i="3" s="1"/>
  <c r="K233" i="3"/>
  <c r="K232" i="3" s="1"/>
  <c r="K227" i="3"/>
  <c r="K226" i="3" s="1"/>
  <c r="K224" i="3"/>
  <c r="K222" i="3" s="1"/>
  <c r="K221" i="3" s="1"/>
  <c r="K223" i="3"/>
  <c r="K202" i="3"/>
  <c r="K201" i="3" s="1"/>
  <c r="K200" i="3" s="1"/>
  <c r="K199" i="3" s="1"/>
  <c r="K198" i="3" s="1"/>
  <c r="K197" i="3" s="1"/>
  <c r="K196" i="3"/>
  <c r="K195" i="3" s="1"/>
  <c r="K194" i="3" s="1"/>
  <c r="K193" i="3" s="1"/>
  <c r="K192" i="3" s="1"/>
  <c r="K191" i="3" s="1"/>
  <c r="K184" i="3"/>
  <c r="K183" i="3" s="1"/>
  <c r="K182" i="3" s="1"/>
  <c r="K181" i="3" s="1"/>
  <c r="K180" i="3" s="1"/>
  <c r="K179" i="3" s="1"/>
  <c r="K174" i="3"/>
  <c r="K173" i="3" s="1"/>
  <c r="K172" i="3" s="1"/>
  <c r="K171" i="3" s="1"/>
  <c r="K170" i="3" s="1"/>
  <c r="K169" i="3" s="1"/>
  <c r="K168" i="3" s="1"/>
  <c r="K166" i="3"/>
  <c r="K165" i="3" s="1"/>
  <c r="K164" i="3" s="1"/>
  <c r="K163" i="3" s="1"/>
  <c r="K162" i="3" s="1"/>
  <c r="K161" i="3" s="1"/>
  <c r="K160" i="3"/>
  <c r="K159" i="3" s="1"/>
  <c r="K158" i="3" s="1"/>
  <c r="K157" i="3" s="1"/>
  <c r="K156" i="3" s="1"/>
  <c r="K154" i="3"/>
  <c r="K153" i="3" s="1"/>
  <c r="K152" i="3" s="1"/>
  <c r="K151" i="3" s="1"/>
  <c r="K149" i="3"/>
  <c r="K148" i="3" s="1"/>
  <c r="K147" i="3" s="1"/>
  <c r="K145" i="3"/>
  <c r="K144" i="3" s="1"/>
  <c r="K143" i="3" s="1"/>
  <c r="K140" i="3"/>
  <c r="K139" i="3" s="1"/>
  <c r="K138" i="3" s="1"/>
  <c r="K137" i="3" s="1"/>
  <c r="K136" i="3" s="1"/>
  <c r="K135" i="3" s="1"/>
  <c r="K133" i="3"/>
  <c r="K132" i="3" s="1"/>
  <c r="K130" i="3"/>
  <c r="K129" i="3" s="1"/>
  <c r="K123" i="3"/>
  <c r="K122" i="3" s="1"/>
  <c r="K121" i="3" s="1"/>
  <c r="K119" i="3"/>
  <c r="K117" i="3" s="1"/>
  <c r="K116" i="3" s="1"/>
  <c r="K115" i="3" s="1"/>
  <c r="K114" i="3"/>
  <c r="K113" i="3" s="1"/>
  <c r="K112" i="3" s="1"/>
  <c r="K110" i="3"/>
  <c r="K109" i="3"/>
  <c r="K108" i="3" s="1"/>
  <c r="K102" i="3"/>
  <c r="K100" i="3"/>
  <c r="K99" i="3"/>
  <c r="K98" i="3" s="1"/>
  <c r="K97" i="3"/>
  <c r="K96" i="3" s="1"/>
  <c r="K85" i="3"/>
  <c r="K83" i="3"/>
  <c r="K82" i="3"/>
  <c r="K78" i="3"/>
  <c r="K77" i="3" s="1"/>
  <c r="K76" i="3"/>
  <c r="K75" i="3" s="1"/>
  <c r="K74" i="3"/>
  <c r="K73" i="3" s="1"/>
  <c r="K70" i="3"/>
  <c r="K69" i="3" s="1"/>
  <c r="K68" i="3" s="1"/>
  <c r="K66" i="3"/>
  <c r="K65" i="3" s="1"/>
  <c r="K61" i="3"/>
  <c r="K60" i="3" s="1"/>
  <c r="K59" i="3" s="1"/>
  <c r="K58" i="3" s="1"/>
  <c r="K51" i="3"/>
  <c r="K50" i="3" s="1"/>
  <c r="K49" i="3" s="1"/>
  <c r="K48" i="3" s="1"/>
  <c r="K47" i="3" s="1"/>
  <c r="K45" i="3"/>
  <c r="K44" i="3" s="1"/>
  <c r="K43" i="3" s="1"/>
  <c r="K42" i="3" s="1"/>
  <c r="K41" i="3" s="1"/>
  <c r="K40" i="3"/>
  <c r="K39" i="3" s="1"/>
  <c r="K38" i="3" s="1"/>
  <c r="K35" i="3"/>
  <c r="K32" i="3"/>
  <c r="K30" i="3"/>
  <c r="K28" i="3"/>
  <c r="K27" i="3"/>
  <c r="K26" i="3"/>
  <c r="K24" i="3" s="1"/>
  <c r="K18" i="3"/>
  <c r="K17" i="3" s="1"/>
  <c r="K16" i="3" s="1"/>
  <c r="K15" i="3" s="1"/>
  <c r="K14" i="3" s="1"/>
  <c r="D57" i="16"/>
  <c r="C57" i="16"/>
  <c r="C69" i="2"/>
  <c r="K81" i="3" l="1"/>
  <c r="M204" i="3"/>
  <c r="M822" i="3"/>
  <c r="D55" i="6" s="1"/>
  <c r="K258" i="19"/>
  <c r="K257" i="19" s="1"/>
  <c r="K256" i="19" s="1"/>
  <c r="K255" i="19" s="1"/>
  <c r="K254" i="19" s="1"/>
  <c r="K439" i="19"/>
  <c r="K438" i="19" s="1"/>
  <c r="K437" i="19" s="1"/>
  <c r="K436" i="19" s="1"/>
  <c r="K461" i="19"/>
  <c r="K460" i="19" s="1"/>
  <c r="K459" i="19" s="1"/>
  <c r="K458" i="19" s="1"/>
  <c r="K480" i="3"/>
  <c r="K479" i="3" s="1"/>
  <c r="K478" i="3" s="1"/>
  <c r="K477" i="3" s="1"/>
  <c r="K241" i="19"/>
  <c r="K405" i="19"/>
  <c r="K404" i="19" s="1"/>
  <c r="K403" i="19" s="1"/>
  <c r="K402" i="19" s="1"/>
  <c r="K401" i="19" s="1"/>
  <c r="K420" i="19"/>
  <c r="K419" i="19" s="1"/>
  <c r="K538" i="19"/>
  <c r="K537" i="19" s="1"/>
  <c r="K536" i="19" s="1"/>
  <c r="K535" i="19" s="1"/>
  <c r="K25" i="19"/>
  <c r="K24" i="19" s="1"/>
  <c r="K23" i="19" s="1"/>
  <c r="K22" i="19" s="1"/>
  <c r="K85" i="19"/>
  <c r="K84" i="19" s="1"/>
  <c r="K83" i="19" s="1"/>
  <c r="K82" i="19" s="1"/>
  <c r="K481" i="19"/>
  <c r="K480" i="19" s="1"/>
  <c r="K475" i="19" s="1"/>
  <c r="K474" i="19" s="1"/>
  <c r="K457" i="19" s="1"/>
  <c r="K449" i="19" s="1"/>
  <c r="K385" i="19"/>
  <c r="K384" i="19" s="1"/>
  <c r="K383" i="19" s="1"/>
  <c r="K382" i="19" s="1"/>
  <c r="K381" i="19" s="1"/>
  <c r="K71" i="19"/>
  <c r="K63" i="19" s="1"/>
  <c r="K62" i="19" s="1"/>
  <c r="K51" i="19" s="1"/>
  <c r="K15" i="19" s="1"/>
  <c r="K214" i="19"/>
  <c r="K213" i="19" s="1"/>
  <c r="K208" i="19" s="1"/>
  <c r="K207" i="19" s="1"/>
  <c r="K206" i="19" s="1"/>
  <c r="K294" i="19"/>
  <c r="K293" i="19" s="1"/>
  <c r="K292" i="19" s="1"/>
  <c r="K291" i="19" s="1"/>
  <c r="K340" i="19"/>
  <c r="K339" i="19" s="1"/>
  <c r="K338" i="19" s="1"/>
  <c r="K337" i="19" s="1"/>
  <c r="K357" i="19"/>
  <c r="K356" i="19" s="1"/>
  <c r="K355" i="19" s="1"/>
  <c r="K354" i="19" s="1"/>
  <c r="K282" i="19"/>
  <c r="K281" i="19" s="1"/>
  <c r="K280" i="19" s="1"/>
  <c r="K279" i="19" s="1"/>
  <c r="K431" i="19"/>
  <c r="K430" i="19" s="1"/>
  <c r="K556" i="19"/>
  <c r="K555" i="19" s="1"/>
  <c r="K554" i="19" s="1"/>
  <c r="K553" i="19" s="1"/>
  <c r="K534" i="19" s="1"/>
  <c r="K533" i="19" s="1"/>
  <c r="K297" i="3"/>
  <c r="K292" i="3" s="1"/>
  <c r="K291" i="3" s="1"/>
  <c r="K80" i="3"/>
  <c r="K370" i="3"/>
  <c r="K369" i="3" s="1"/>
  <c r="K368" i="3" s="1"/>
  <c r="K367" i="3" s="1"/>
  <c r="K366" i="3" s="1"/>
  <c r="K604" i="3"/>
  <c r="K603" i="3" s="1"/>
  <c r="K673" i="3"/>
  <c r="K672" i="3" s="1"/>
  <c r="K671" i="3" s="1"/>
  <c r="K666" i="3" s="1"/>
  <c r="K665" i="3" s="1"/>
  <c r="K95" i="3"/>
  <c r="K94" i="3" s="1"/>
  <c r="K93" i="3" s="1"/>
  <c r="K92" i="3" s="1"/>
  <c r="K267" i="3"/>
  <c r="K266" i="3" s="1"/>
  <c r="K265" i="3" s="1"/>
  <c r="K264" i="3" s="1"/>
  <c r="K263" i="3" s="1"/>
  <c r="K262" i="3" s="1"/>
  <c r="K629" i="3"/>
  <c r="K624" i="3" s="1"/>
  <c r="K623" i="3" s="1"/>
  <c r="K618" i="3" s="1"/>
  <c r="K617" i="3" s="1"/>
  <c r="K284" i="3"/>
  <c r="K646" i="3"/>
  <c r="K645" i="3" s="1"/>
  <c r="K644" i="3" s="1"/>
  <c r="K643" i="3" s="1"/>
  <c r="K734" i="3"/>
  <c r="K733" i="3" s="1"/>
  <c r="K732" i="3" s="1"/>
  <c r="K731" i="3" s="1"/>
  <c r="K72" i="3"/>
  <c r="K107" i="3"/>
  <c r="K106" i="3" s="1"/>
  <c r="K105" i="3" s="1"/>
  <c r="K104" i="3" s="1"/>
  <c r="K528" i="3"/>
  <c r="K457" i="3"/>
  <c r="K568" i="3"/>
  <c r="K567" i="3" s="1"/>
  <c r="K566" i="3" s="1"/>
  <c r="K565" i="3" s="1"/>
  <c r="K23" i="3"/>
  <c r="K22" i="3" s="1"/>
  <c r="K21" i="3" s="1"/>
  <c r="K20" i="3" s="1"/>
  <c r="K515" i="3"/>
  <c r="K510" i="3" s="1"/>
  <c r="K173" i="19"/>
  <c r="K172" i="19" s="1"/>
  <c r="K171" i="19" s="1"/>
  <c r="K162" i="19" s="1"/>
  <c r="K161" i="19" s="1"/>
  <c r="K505" i="19"/>
  <c r="K504" i="19" s="1"/>
  <c r="K503" i="19" s="1"/>
  <c r="K502" i="19" s="1"/>
  <c r="K92" i="19"/>
  <c r="K91" i="19" s="1"/>
  <c r="K90" i="19" s="1"/>
  <c r="K147" i="19"/>
  <c r="K112" i="19"/>
  <c r="K111" i="19" s="1"/>
  <c r="K110" i="19" s="1"/>
  <c r="K515" i="19"/>
  <c r="K268" i="19"/>
  <c r="K267" i="19" s="1"/>
  <c r="K266" i="19" s="1"/>
  <c r="K265" i="19" s="1"/>
  <c r="K347" i="3"/>
  <c r="K346" i="3" s="1"/>
  <c r="K345" i="3" s="1"/>
  <c r="K344" i="3" s="1"/>
  <c r="K343" i="3" s="1"/>
  <c r="K404" i="3"/>
  <c r="K403" i="3" s="1"/>
  <c r="K402" i="3" s="1"/>
  <c r="K401" i="3" s="1"/>
  <c r="K426" i="3"/>
  <c r="K611" i="3"/>
  <c r="K610" i="3" s="1"/>
  <c r="K713" i="3"/>
  <c r="K712" i="3" s="1"/>
  <c r="K711" i="3" s="1"/>
  <c r="K710" i="3" s="1"/>
  <c r="K709" i="3" s="1"/>
  <c r="K752" i="3"/>
  <c r="K751" i="3" s="1"/>
  <c r="K750" i="3" s="1"/>
  <c r="K749" i="3" s="1"/>
  <c r="K437" i="3"/>
  <c r="K142" i="3"/>
  <c r="K141" i="3" s="1"/>
  <c r="K660" i="3"/>
  <c r="K659" i="3" s="1"/>
  <c r="K654" i="3" s="1"/>
  <c r="K653" i="3" s="1"/>
  <c r="K581" i="3"/>
  <c r="K580" i="3" s="1"/>
  <c r="K579" i="3" s="1"/>
  <c r="K128" i="3"/>
  <c r="K127" i="3" s="1"/>
  <c r="K126" i="3" s="1"/>
  <c r="K327" i="3"/>
  <c r="K326" i="3" s="1"/>
  <c r="K325" i="3" s="1"/>
  <c r="K231" i="3"/>
  <c r="K230" i="3" s="1"/>
  <c r="K229" i="3" s="1"/>
  <c r="K557" i="3"/>
  <c r="K556" i="3" s="1"/>
  <c r="K555" i="3" s="1"/>
  <c r="K554" i="3" s="1"/>
  <c r="K126" i="19"/>
  <c r="K125" i="19" s="1"/>
  <c r="K178" i="3"/>
  <c r="K220" i="3"/>
  <c r="K219" i="3" s="1"/>
  <c r="K218" i="3" s="1"/>
  <c r="K434" i="3"/>
  <c r="K546" i="3"/>
  <c r="K545" i="3" s="1"/>
  <c r="K544" i="3" s="1"/>
  <c r="K543" i="3" s="1"/>
  <c r="K542" i="3" s="1"/>
  <c r="K541" i="3" s="1"/>
  <c r="K696" i="3"/>
  <c r="K695" i="3" s="1"/>
  <c r="K694" i="3" s="1"/>
  <c r="K693" i="3" s="1"/>
  <c r="K387" i="3"/>
  <c r="K386" i="3" s="1"/>
  <c r="K385" i="3" s="1"/>
  <c r="K384" i="3" s="1"/>
  <c r="K592" i="3"/>
  <c r="C29" i="2"/>
  <c r="C28" i="2" s="1"/>
  <c r="K205" i="19" l="1"/>
  <c r="K64" i="3"/>
  <c r="K63" i="3" s="1"/>
  <c r="K52" i="3" s="1"/>
  <c r="K13" i="3" s="1"/>
  <c r="K109" i="19"/>
  <c r="K81" i="19"/>
  <c r="K278" i="19"/>
  <c r="K264" i="19" s="1"/>
  <c r="K418" i="19"/>
  <c r="K417" i="19" s="1"/>
  <c r="K416" i="19" s="1"/>
  <c r="K393" i="19" s="1"/>
  <c r="K509" i="3"/>
  <c r="K504" i="3" s="1"/>
  <c r="K503" i="3" s="1"/>
  <c r="K591" i="3"/>
  <c r="K590" i="3" s="1"/>
  <c r="K589" i="3" s="1"/>
  <c r="K588" i="3" s="1"/>
  <c r="K425" i="3"/>
  <c r="K424" i="3" s="1"/>
  <c r="K423" i="3" s="1"/>
  <c r="K422" i="3" s="1"/>
  <c r="K91" i="3"/>
  <c r="K564" i="3"/>
  <c r="K283" i="3"/>
  <c r="K282" i="3" s="1"/>
  <c r="K281" i="3" s="1"/>
  <c r="K280" i="3" s="1"/>
  <c r="K730" i="3"/>
  <c r="K729" i="3" s="1"/>
  <c r="K501" i="19"/>
  <c r="K642" i="3"/>
  <c r="K634" i="3" s="1"/>
  <c r="K217" i="3"/>
  <c r="K216" i="3" s="1"/>
  <c r="K125" i="3"/>
  <c r="K692" i="3"/>
  <c r="D38" i="16"/>
  <c r="C38" i="16"/>
  <c r="C50" i="2"/>
  <c r="K14" i="19" l="1"/>
  <c r="K13" i="19" s="1"/>
  <c r="K400" i="3"/>
  <c r="K383" i="3" s="1"/>
  <c r="K553" i="3"/>
  <c r="K12" i="3"/>
  <c r="M331" i="3"/>
  <c r="K11" i="3" l="1"/>
  <c r="M678" i="3"/>
  <c r="M675" i="3"/>
  <c r="M349" i="3" l="1"/>
  <c r="M294" i="3"/>
  <c r="H228" i="7" l="1"/>
  <c r="M661" i="3"/>
  <c r="M658" i="3"/>
  <c r="L662" i="3"/>
  <c r="L661" i="3" s="1"/>
  <c r="I59" i="18" l="1"/>
  <c r="H59" i="18"/>
  <c r="I58" i="18"/>
  <c r="H58" i="18"/>
  <c r="M322" i="19" l="1"/>
  <c r="L324" i="19"/>
  <c r="L323" i="19"/>
  <c r="N322" i="19"/>
  <c r="L322" i="19" l="1"/>
  <c r="M351" i="3"/>
  <c r="M268" i="3" l="1"/>
  <c r="M269" i="3"/>
  <c r="C29" i="5" l="1"/>
  <c r="N484" i="19" l="1"/>
  <c r="M484" i="19"/>
  <c r="M682" i="3"/>
  <c r="N491" i="19"/>
  <c r="M491" i="19"/>
  <c r="D25" i="16"/>
  <c r="C25" i="16"/>
  <c r="C35" i="2"/>
  <c r="M613" i="3" l="1"/>
  <c r="M631" i="3" l="1"/>
  <c r="M290" i="3"/>
  <c r="M594" i="3"/>
  <c r="M119" i="3"/>
  <c r="M574" i="3" l="1"/>
  <c r="M596" i="3"/>
  <c r="M436" i="3" l="1"/>
  <c r="M410" i="3"/>
  <c r="M348" i="3"/>
  <c r="H21" i="7"/>
  <c r="L349" i="3" l="1"/>
  <c r="L348" i="3" s="1"/>
  <c r="H31" i="7" l="1"/>
  <c r="M40" i="3"/>
  <c r="H486" i="7" s="1"/>
  <c r="H485" i="7" s="1"/>
  <c r="M26" i="3"/>
  <c r="M39" i="3" l="1"/>
  <c r="M38" i="3" s="1"/>
  <c r="L40" i="3"/>
  <c r="L39" i="3" s="1"/>
  <c r="L38" i="3" s="1"/>
  <c r="M184" i="3" l="1"/>
  <c r="M196" i="3"/>
  <c r="M174" i="3"/>
  <c r="C43" i="5" l="1"/>
  <c r="M140" i="3" l="1"/>
  <c r="M549" i="3" l="1"/>
  <c r="M517" i="3"/>
  <c r="M513" i="3"/>
  <c r="M393" i="3"/>
  <c r="H30" i="7"/>
  <c r="M350" i="3"/>
  <c r="L351" i="3"/>
  <c r="L350" i="3" s="1"/>
  <c r="M347" i="3" l="1"/>
  <c r="M346" i="3" s="1"/>
  <c r="M345" i="3" s="1"/>
  <c r="M344" i="3" s="1"/>
  <c r="L347" i="3"/>
  <c r="L346" i="3" s="1"/>
  <c r="L345" i="3" s="1"/>
  <c r="L344" i="3" s="1"/>
  <c r="C22" i="2"/>
  <c r="C20" i="2" s="1"/>
  <c r="L551" i="3" l="1"/>
  <c r="L550" i="3" s="1"/>
  <c r="L549" i="3"/>
  <c r="M427" i="3" l="1"/>
  <c r="H181" i="7" l="1"/>
  <c r="H180" i="7" s="1"/>
  <c r="M608" i="3"/>
  <c r="L609" i="3"/>
  <c r="L608" i="3" s="1"/>
  <c r="M408" i="3" l="1"/>
  <c r="H39" i="7" l="1"/>
  <c r="M70" i="3" l="1"/>
  <c r="M572" i="3" l="1"/>
  <c r="M431" i="3" l="1"/>
  <c r="L432" i="3"/>
  <c r="M435" i="3" l="1"/>
  <c r="H366" i="7" l="1"/>
  <c r="M334" i="3"/>
  <c r="M333" i="3" s="1"/>
  <c r="M332" i="3" s="1"/>
  <c r="L335" i="3"/>
  <c r="L334" i="3" s="1"/>
  <c r="L333" i="3" s="1"/>
  <c r="L332" i="3" s="1"/>
  <c r="H509" i="7" l="1"/>
  <c r="H508" i="7" s="1"/>
  <c r="H507" i="7" s="1"/>
  <c r="M78" i="3"/>
  <c r="M77" i="3" s="1"/>
  <c r="L79" i="3"/>
  <c r="L78" i="3" s="1"/>
  <c r="L77" i="3" s="1"/>
  <c r="M99" i="3" l="1"/>
  <c r="M27" i="3"/>
  <c r="M324" i="3" l="1"/>
  <c r="M114" i="3"/>
  <c r="L565" i="19"/>
  <c r="L564" i="19"/>
  <c r="L562" i="19"/>
  <c r="L561" i="19"/>
  <c r="L559" i="19"/>
  <c r="L558" i="19"/>
  <c r="L552" i="19"/>
  <c r="L551" i="19"/>
  <c r="L549" i="19"/>
  <c r="L548" i="19"/>
  <c r="L544" i="19"/>
  <c r="L543" i="19"/>
  <c r="L541" i="19"/>
  <c r="L540" i="19"/>
  <c r="L531" i="19"/>
  <c r="L530" i="19"/>
  <c r="L523" i="19"/>
  <c r="L522" i="19"/>
  <c r="L521" i="19"/>
  <c r="L514" i="19"/>
  <c r="L513" i="19" s="1"/>
  <c r="L512" i="19" s="1"/>
  <c r="L511" i="19"/>
  <c r="L510" i="19" s="1"/>
  <c r="L509" i="19" s="1"/>
  <c r="L508" i="19"/>
  <c r="L507" i="19" s="1"/>
  <c r="L506" i="19" s="1"/>
  <c r="L499" i="19"/>
  <c r="L498" i="19"/>
  <c r="L497" i="19"/>
  <c r="L491" i="19"/>
  <c r="L490" i="19" s="1"/>
  <c r="L489" i="19"/>
  <c r="L487" i="19"/>
  <c r="L486" i="19" s="1"/>
  <c r="L485" i="19"/>
  <c r="L484" i="19"/>
  <c r="L483" i="19"/>
  <c r="L479" i="19"/>
  <c r="L478" i="19" s="1"/>
  <c r="L477" i="19" s="1"/>
  <c r="L476" i="19" s="1"/>
  <c r="L473" i="19"/>
  <c r="L472" i="19" s="1"/>
  <c r="L471" i="19" s="1"/>
  <c r="L470" i="19" s="1"/>
  <c r="L469" i="19" s="1"/>
  <c r="L468" i="19" s="1"/>
  <c r="L467" i="19"/>
  <c r="L466" i="19" s="1"/>
  <c r="L465" i="19"/>
  <c r="L464" i="19"/>
  <c r="L463" i="19"/>
  <c r="L456" i="19"/>
  <c r="L455" i="19" s="1"/>
  <c r="L454" i="19" s="1"/>
  <c r="L453" i="19" s="1"/>
  <c r="L452" i="19" s="1"/>
  <c r="L451" i="19" s="1"/>
  <c r="L450" i="19" s="1"/>
  <c r="L447" i="19"/>
  <c r="L446" i="19"/>
  <c r="L445" i="19"/>
  <c r="L443" i="19"/>
  <c r="L442" i="19"/>
  <c r="L441" i="19"/>
  <c r="L429" i="19"/>
  <c r="L428" i="19" s="1"/>
  <c r="L427" i="19" s="1"/>
  <c r="L415" i="19"/>
  <c r="L414" i="19" s="1"/>
  <c r="L413" i="19" s="1"/>
  <c r="L412" i="19" s="1"/>
  <c r="L411" i="19" s="1"/>
  <c r="L410" i="19" s="1"/>
  <c r="L409" i="19"/>
  <c r="L408" i="19" s="1"/>
  <c r="L407" i="19"/>
  <c r="L406" i="19" s="1"/>
  <c r="L400" i="19"/>
  <c r="L399" i="19" s="1"/>
  <c r="L398" i="19" s="1"/>
  <c r="L397" i="19" s="1"/>
  <c r="L396" i="19" s="1"/>
  <c r="L395" i="19" s="1"/>
  <c r="L394" i="19" s="1"/>
  <c r="L391" i="19"/>
  <c r="L390" i="19" s="1"/>
  <c r="L389" i="19"/>
  <c r="L388" i="19"/>
  <c r="L387" i="19"/>
  <c r="L380" i="19"/>
  <c r="L379" i="19"/>
  <c r="L372" i="19"/>
  <c r="L371" i="19" s="1"/>
  <c r="L370" i="19" s="1"/>
  <c r="L369" i="19"/>
  <c r="L368" i="19"/>
  <c r="L366" i="19"/>
  <c r="L365" i="19"/>
  <c r="L364" i="19"/>
  <c r="L363" i="19"/>
  <c r="L361" i="19"/>
  <c r="L359" i="19"/>
  <c r="L360" i="19"/>
  <c r="L353" i="19"/>
  <c r="L352" i="19" s="1"/>
  <c r="L351" i="19"/>
  <c r="L350" i="19" s="1"/>
  <c r="L349" i="19"/>
  <c r="L348" i="19"/>
  <c r="L344" i="19"/>
  <c r="L343" i="19" s="1"/>
  <c r="L342" i="19"/>
  <c r="L341" i="19" s="1"/>
  <c r="L336" i="19"/>
  <c r="L335" i="19" s="1"/>
  <c r="L334" i="19" s="1"/>
  <c r="L333" i="19" s="1"/>
  <c r="L332" i="19"/>
  <c r="L331" i="19"/>
  <c r="L328" i="19"/>
  <c r="L327" i="19"/>
  <c r="L326" i="19"/>
  <c r="L321" i="19"/>
  <c r="L320" i="19"/>
  <c r="L318" i="19"/>
  <c r="L317" i="19" s="1"/>
  <c r="L316" i="19"/>
  <c r="L315" i="19"/>
  <c r="L313" i="19"/>
  <c r="L312" i="19"/>
  <c r="L311" i="19"/>
  <c r="L309" i="19"/>
  <c r="L308" i="19"/>
  <c r="L307" i="19"/>
  <c r="L305" i="19"/>
  <c r="L304" i="19"/>
  <c r="L302" i="19"/>
  <c r="L301" i="19"/>
  <c r="L299" i="19"/>
  <c r="L298" i="19"/>
  <c r="L297" i="19"/>
  <c r="L296" i="19"/>
  <c r="L290" i="19"/>
  <c r="L289" i="19" s="1"/>
  <c r="L288" i="19"/>
  <c r="L287" i="19" s="1"/>
  <c r="L286" i="19"/>
  <c r="L285" i="19" s="1"/>
  <c r="L284" i="19"/>
  <c r="L283" i="19" s="1"/>
  <c r="L277" i="19"/>
  <c r="L276" i="19" s="1"/>
  <c r="L275" i="19" s="1"/>
  <c r="L274" i="19"/>
  <c r="L273" i="19" s="1"/>
  <c r="L272" i="19" s="1"/>
  <c r="L271" i="19"/>
  <c r="L270" i="19" s="1"/>
  <c r="L269" i="19" s="1"/>
  <c r="L262" i="19"/>
  <c r="L261" i="19" s="1"/>
  <c r="L260" i="19"/>
  <c r="L259" i="19" s="1"/>
  <c r="L253" i="19"/>
  <c r="L252" i="19" s="1"/>
  <c r="L251" i="19" s="1"/>
  <c r="L250" i="19" s="1"/>
  <c r="L249" i="19" s="1"/>
  <c r="L248" i="19" s="1"/>
  <c r="L247" i="19"/>
  <c r="L246" i="19" s="1"/>
  <c r="L245" i="19" s="1"/>
  <c r="L244" i="19" s="1"/>
  <c r="L243" i="19" s="1"/>
  <c r="L242" i="19" s="1"/>
  <c r="L240" i="19"/>
  <c r="L234" i="19"/>
  <c r="L233" i="19" s="1"/>
  <c r="L232" i="19" s="1"/>
  <c r="L231" i="19" s="1"/>
  <c r="L230" i="19"/>
  <c r="L229" i="19" s="1"/>
  <c r="L228" i="19" s="1"/>
  <c r="L227" i="19"/>
  <c r="L226" i="19" s="1"/>
  <c r="L225" i="19" s="1"/>
  <c r="L224" i="19"/>
  <c r="L223" i="19" s="1"/>
  <c r="L222" i="19"/>
  <c r="L221" i="19"/>
  <c r="L218" i="19"/>
  <c r="L217" i="19"/>
  <c r="L212" i="19"/>
  <c r="L211" i="19" s="1"/>
  <c r="L210" i="19" s="1"/>
  <c r="L209" i="19" s="1"/>
  <c r="L203" i="19"/>
  <c r="L202" i="19"/>
  <c r="L193" i="19"/>
  <c r="L192" i="19" s="1"/>
  <c r="L191" i="19" s="1"/>
  <c r="L190" i="19" s="1"/>
  <c r="L189" i="19" s="1"/>
  <c r="L188" i="19" s="1"/>
  <c r="L187" i="19" s="1"/>
  <c r="L186" i="19"/>
  <c r="L185" i="19" s="1"/>
  <c r="L184" i="19" s="1"/>
  <c r="L183" i="19" s="1"/>
  <c r="L182" i="19" s="1"/>
  <c r="L181" i="19" s="1"/>
  <c r="L180" i="19" s="1"/>
  <c r="L179" i="19"/>
  <c r="L178" i="19" s="1"/>
  <c r="L177" i="19" s="1"/>
  <c r="L176" i="19"/>
  <c r="L175" i="19" s="1"/>
  <c r="L174" i="19" s="1"/>
  <c r="L170" i="19"/>
  <c r="L169" i="19"/>
  <c r="L159" i="19"/>
  <c r="L158" i="19" s="1"/>
  <c r="L157" i="19" s="1"/>
  <c r="L156" i="19" s="1"/>
  <c r="L155" i="19" s="1"/>
  <c r="L154" i="19" s="1"/>
  <c r="L153" i="19"/>
  <c r="L152" i="19" s="1"/>
  <c r="L151" i="19" s="1"/>
  <c r="L150" i="19" s="1"/>
  <c r="L149" i="19" s="1"/>
  <c r="L148" i="19" s="1"/>
  <c r="L146" i="19"/>
  <c r="L145" i="19" s="1"/>
  <c r="L144" i="19" s="1"/>
  <c r="L143" i="19" s="1"/>
  <c r="L142" i="19" s="1"/>
  <c r="L141" i="19" s="1"/>
  <c r="L140" i="19" s="1"/>
  <c r="L139" i="19"/>
  <c r="L138" i="19" s="1"/>
  <c r="L137" i="19" s="1"/>
  <c r="L136" i="19" s="1"/>
  <c r="L135" i="19" s="1"/>
  <c r="L134" i="19"/>
  <c r="L133" i="19" s="1"/>
  <c r="L132" i="19" s="1"/>
  <c r="L131" i="19" s="1"/>
  <c r="L130" i="19"/>
  <c r="L129" i="19" s="1"/>
  <c r="L128" i="19" s="1"/>
  <c r="L127" i="19" s="1"/>
  <c r="L124" i="19"/>
  <c r="L123" i="19" s="1"/>
  <c r="L122" i="19" s="1"/>
  <c r="L121" i="19" s="1"/>
  <c r="L120" i="19" s="1"/>
  <c r="L119" i="19" s="1"/>
  <c r="L118" i="19"/>
  <c r="L117" i="19" s="1"/>
  <c r="L116" i="19" s="1"/>
  <c r="L115" i="19"/>
  <c r="L114" i="19" s="1"/>
  <c r="L113" i="19" s="1"/>
  <c r="L108" i="19"/>
  <c r="L107" i="19" s="1"/>
  <c r="L106" i="19" s="1"/>
  <c r="L105" i="19" s="1"/>
  <c r="L104" i="19"/>
  <c r="L103" i="19"/>
  <c r="L102" i="19"/>
  <c r="L98" i="19"/>
  <c r="L97" i="19" s="1"/>
  <c r="L96" i="19" s="1"/>
  <c r="L95" i="19"/>
  <c r="L94" i="19" s="1"/>
  <c r="L93" i="19" s="1"/>
  <c r="L89" i="19"/>
  <c r="L88" i="19" s="1"/>
  <c r="L87" i="19"/>
  <c r="L86" i="19" s="1"/>
  <c r="L80" i="19"/>
  <c r="L79" i="19"/>
  <c r="L78" i="19"/>
  <c r="L75" i="19"/>
  <c r="L74" i="19" s="1"/>
  <c r="L73" i="19"/>
  <c r="L72" i="19" s="1"/>
  <c r="L70" i="19"/>
  <c r="L69" i="19"/>
  <c r="L66" i="19"/>
  <c r="L65" i="19" s="1"/>
  <c r="L64" i="19" s="1"/>
  <c r="L61" i="19"/>
  <c r="L60" i="19" s="1"/>
  <c r="L59" i="19" s="1"/>
  <c r="L58" i="19" s="1"/>
  <c r="L57" i="19" s="1"/>
  <c r="L45" i="19"/>
  <c r="L44" i="19" s="1"/>
  <c r="L43" i="19" s="1"/>
  <c r="L42" i="19" s="1"/>
  <c r="L41" i="19" s="1"/>
  <c r="L40" i="19" s="1"/>
  <c r="L39" i="19"/>
  <c r="L38" i="19"/>
  <c r="L36" i="19"/>
  <c r="L35" i="19"/>
  <c r="L33" i="19"/>
  <c r="L32" i="19" s="1"/>
  <c r="L31" i="19"/>
  <c r="L30" i="19" s="1"/>
  <c r="L29" i="19"/>
  <c r="L28" i="19"/>
  <c r="L27" i="19"/>
  <c r="L21" i="19"/>
  <c r="L20" i="19" s="1"/>
  <c r="L19" i="19" s="1"/>
  <c r="L18" i="19" s="1"/>
  <c r="L17" i="19" s="1"/>
  <c r="L16" i="19" s="1"/>
  <c r="L488" i="19"/>
  <c r="L547" i="19" l="1"/>
  <c r="L563" i="19"/>
  <c r="L560" i="19"/>
  <c r="L68" i="19"/>
  <c r="L67" i="19" s="1"/>
  <c r="L314" i="19"/>
  <c r="L319" i="19"/>
  <c r="L550" i="19"/>
  <c r="L482" i="19"/>
  <c r="L481" i="19" s="1"/>
  <c r="L480" i="19" s="1"/>
  <c r="L475" i="19" s="1"/>
  <c r="L474" i="19" s="1"/>
  <c r="L539" i="19"/>
  <c r="L557" i="19"/>
  <c r="L37" i="19"/>
  <c r="L300" i="19"/>
  <c r="L330" i="19"/>
  <c r="L329" i="19" s="1"/>
  <c r="L378" i="19"/>
  <c r="L377" i="19" s="1"/>
  <c r="L376" i="19" s="1"/>
  <c r="L375" i="19" s="1"/>
  <c r="L374" i="19" s="1"/>
  <c r="L373" i="19" s="1"/>
  <c r="L34" i="19"/>
  <c r="L295" i="19"/>
  <c r="L303" i="19"/>
  <c r="L347" i="19"/>
  <c r="L386" i="19"/>
  <c r="L385" i="19" s="1"/>
  <c r="L384" i="19" s="1"/>
  <c r="L383" i="19" s="1"/>
  <c r="L382" i="19" s="1"/>
  <c r="L381" i="19" s="1"/>
  <c r="L126" i="19"/>
  <c r="L125" i="19" s="1"/>
  <c r="L325" i="19"/>
  <c r="L367" i="19"/>
  <c r="L26" i="19"/>
  <c r="L405" i="19"/>
  <c r="L404" i="19" s="1"/>
  <c r="L403" i="19" s="1"/>
  <c r="L402" i="19" s="1"/>
  <c r="L401" i="19" s="1"/>
  <c r="L542" i="19"/>
  <c r="L520" i="19"/>
  <c r="L519" i="19" s="1"/>
  <c r="L518" i="19" s="1"/>
  <c r="L517" i="19" s="1"/>
  <c r="L516" i="19" s="1"/>
  <c r="L505" i="19"/>
  <c r="L504" i="19" s="1"/>
  <c r="L503" i="19" s="1"/>
  <c r="L502" i="19" s="1"/>
  <c r="L496" i="19"/>
  <c r="L495" i="19" s="1"/>
  <c r="L494" i="19" s="1"/>
  <c r="L493" i="19" s="1"/>
  <c r="L492" i="19" s="1"/>
  <c r="L462" i="19"/>
  <c r="L461" i="19" s="1"/>
  <c r="L460" i="19" s="1"/>
  <c r="L459" i="19" s="1"/>
  <c r="L458" i="19" s="1"/>
  <c r="L444" i="19"/>
  <c r="L440" i="19"/>
  <c r="L362" i="19"/>
  <c r="L358" i="19"/>
  <c r="L310" i="19"/>
  <c r="L306" i="19"/>
  <c r="L282" i="19"/>
  <c r="L281" i="19" s="1"/>
  <c r="L280" i="19" s="1"/>
  <c r="L279" i="19" s="1"/>
  <c r="L258" i="19"/>
  <c r="L257" i="19" s="1"/>
  <c r="L256" i="19" s="1"/>
  <c r="L255" i="19" s="1"/>
  <c r="L254" i="19" s="1"/>
  <c r="L112" i="19"/>
  <c r="L111" i="19" s="1"/>
  <c r="L110" i="19" s="1"/>
  <c r="L101" i="19"/>
  <c r="L100" i="19" s="1"/>
  <c r="L99" i="19" s="1"/>
  <c r="L92" i="19"/>
  <c r="L85" i="19"/>
  <c r="L84" i="19" s="1"/>
  <c r="L83" i="19" s="1"/>
  <c r="L82" i="19" s="1"/>
  <c r="L77" i="19"/>
  <c r="L76" i="19" s="1"/>
  <c r="L268" i="19"/>
  <c r="L267" i="19" s="1"/>
  <c r="L266" i="19" s="1"/>
  <c r="L265" i="19" s="1"/>
  <c r="L71" i="19"/>
  <c r="L173" i="19"/>
  <c r="L172" i="19" s="1"/>
  <c r="L171" i="19" s="1"/>
  <c r="L147" i="19"/>
  <c r="L241" i="19"/>
  <c r="L294" i="19" l="1"/>
  <c r="L293" i="19" s="1"/>
  <c r="L292" i="19" s="1"/>
  <c r="L291" i="19" s="1"/>
  <c r="L538" i="19"/>
  <c r="L537" i="19" s="1"/>
  <c r="L536" i="19" s="1"/>
  <c r="L535" i="19" s="1"/>
  <c r="L556" i="19"/>
  <c r="L555" i="19" s="1"/>
  <c r="L554" i="19" s="1"/>
  <c r="L553" i="19" s="1"/>
  <c r="L25" i="19"/>
  <c r="L24" i="19" s="1"/>
  <c r="L23" i="19" s="1"/>
  <c r="L22" i="19" s="1"/>
  <c r="L439" i="19"/>
  <c r="L438" i="19" s="1"/>
  <c r="L437" i="19" s="1"/>
  <c r="L436" i="19" s="1"/>
  <c r="L109" i="19"/>
  <c r="L357" i="19"/>
  <c r="L356" i="19" s="1"/>
  <c r="L355" i="19" s="1"/>
  <c r="L354" i="19" s="1"/>
  <c r="L457" i="19"/>
  <c r="L449" i="19" s="1"/>
  <c r="L91" i="19"/>
  <c r="L90" i="19" s="1"/>
  <c r="L81" i="19" s="1"/>
  <c r="L63" i="19"/>
  <c r="L62" i="19" s="1"/>
  <c r="L51" i="19" s="1"/>
  <c r="L534" i="19" l="1"/>
  <c r="L533" i="19" s="1"/>
  <c r="M598" i="3"/>
  <c r="I76" i="18" l="1"/>
  <c r="H76" i="18"/>
  <c r="H82" i="18"/>
  <c r="H81" i="18"/>
  <c r="M347" i="19"/>
  <c r="M390" i="19"/>
  <c r="N343" i="19"/>
  <c r="M343" i="19"/>
  <c r="H80" i="18" l="1"/>
  <c r="N390" i="19"/>
  <c r="N347" i="19"/>
  <c r="I82" i="18"/>
  <c r="I81" i="18"/>
  <c r="I80" i="18" l="1"/>
  <c r="H93" i="7"/>
  <c r="H99" i="7"/>
  <c r="H98" i="7"/>
  <c r="M550" i="3"/>
  <c r="M489" i="3"/>
  <c r="L491" i="3"/>
  <c r="L490" i="3"/>
  <c r="L489" i="3" s="1"/>
  <c r="H97" i="7" l="1"/>
  <c r="C31" i="5"/>
  <c r="E23" i="5"/>
  <c r="E22" i="5" s="1"/>
  <c r="D23" i="5"/>
  <c r="D22" i="5" s="1"/>
  <c r="C23" i="5"/>
  <c r="C22" i="5" s="1"/>
  <c r="C16" i="5"/>
  <c r="I74" i="18" l="1"/>
  <c r="H74" i="18"/>
  <c r="I73" i="18"/>
  <c r="H73" i="18"/>
  <c r="I72" i="18"/>
  <c r="H72" i="18"/>
  <c r="I71" i="18"/>
  <c r="H71" i="18"/>
  <c r="N341" i="19"/>
  <c r="M341" i="19"/>
  <c r="N386" i="19"/>
  <c r="M386" i="19"/>
  <c r="H89" i="7"/>
  <c r="H88" i="7"/>
  <c r="M481" i="3"/>
  <c r="K772" i="3"/>
  <c r="K774" i="3"/>
  <c r="K783" i="3"/>
  <c r="K805" i="3"/>
  <c r="K817" i="3"/>
  <c r="K818" i="3" s="1"/>
  <c r="K814" i="3"/>
  <c r="H87" i="7"/>
  <c r="M546" i="3" l="1"/>
  <c r="M545" i="3" s="1"/>
  <c r="L547" i="3"/>
  <c r="M385" i="19"/>
  <c r="M384" i="19" s="1"/>
  <c r="M383" i="19" s="1"/>
  <c r="M382" i="19" s="1"/>
  <c r="M381" i="19" s="1"/>
  <c r="H86" i="7"/>
  <c r="N385" i="19"/>
  <c r="N384" i="19" s="1"/>
  <c r="N383" i="19" s="1"/>
  <c r="N382" i="19" s="1"/>
  <c r="N381" i="19" s="1"/>
  <c r="K820" i="3"/>
  <c r="K823" i="3" s="1"/>
  <c r="K797" i="3"/>
  <c r="K779" i="3"/>
  <c r="K802" i="3"/>
  <c r="K811" i="3"/>
  <c r="K782" i="3"/>
  <c r="K771" i="3"/>
  <c r="K793" i="3"/>
  <c r="K778" i="3"/>
  <c r="K812" i="3"/>
  <c r="K808" i="3"/>
  <c r="K796" i="3"/>
  <c r="K770" i="3"/>
  <c r="K790" i="3"/>
  <c r="K788" i="3"/>
  <c r="N567" i="19"/>
  <c r="M567" i="19"/>
  <c r="L567" i="19" s="1"/>
  <c r="L566" i="19" s="1"/>
  <c r="K801" i="3" l="1"/>
  <c r="K803" i="3" s="1"/>
  <c r="K773" i="3"/>
  <c r="K784" i="3"/>
  <c r="K785" i="3" s="1"/>
  <c r="K780" i="3"/>
  <c r="K791" i="3"/>
  <c r="K795" i="3"/>
  <c r="K813" i="3"/>
  <c r="K815" i="3" s="1"/>
  <c r="K794" i="3"/>
  <c r="K807" i="3"/>
  <c r="K809" i="3" s="1"/>
  <c r="D52" i="16"/>
  <c r="C52" i="16"/>
  <c r="I67" i="18"/>
  <c r="H67" i="18"/>
  <c r="I66" i="18"/>
  <c r="H66" i="18"/>
  <c r="N330" i="19"/>
  <c r="N329" i="19" s="1"/>
  <c r="M330" i="19"/>
  <c r="M329" i="19" s="1"/>
  <c r="K798" i="3" l="1"/>
  <c r="K799" i="3" s="1"/>
  <c r="K775" i="3"/>
  <c r="K776" i="3" s="1"/>
  <c r="H65" i="18"/>
  <c r="H64" i="18" s="1"/>
  <c r="I65" i="18"/>
  <c r="I64" i="18" s="1"/>
  <c r="C64" i="2"/>
  <c r="H82" i="7"/>
  <c r="H81" i="7"/>
  <c r="M470" i="3"/>
  <c r="M469" i="3" s="1"/>
  <c r="L472" i="3"/>
  <c r="L471" i="3"/>
  <c r="K824" i="3" l="1"/>
  <c r="H80" i="7"/>
  <c r="H79" i="7" s="1"/>
  <c r="L470" i="3"/>
  <c r="L469" i="3" s="1"/>
  <c r="M458" i="3"/>
  <c r="M459" i="3"/>
  <c r="M522" i="3" l="1"/>
  <c r="M518" i="3"/>
  <c r="M512" i="3" l="1"/>
  <c r="N529" i="19" l="1"/>
  <c r="M529" i="19"/>
  <c r="L529" i="19" s="1"/>
  <c r="L528" i="19" s="1"/>
  <c r="L527" i="19" s="1"/>
  <c r="L526" i="19" s="1"/>
  <c r="L525" i="19" s="1"/>
  <c r="L524" i="19" s="1"/>
  <c r="L515" i="19" s="1"/>
  <c r="L501" i="19" s="1"/>
  <c r="M725" i="3"/>
  <c r="N201" i="19"/>
  <c r="M201" i="19"/>
  <c r="L201" i="19" s="1"/>
  <c r="L200" i="19" s="1"/>
  <c r="L199" i="19" s="1"/>
  <c r="L198" i="19" s="1"/>
  <c r="L197" i="19" s="1"/>
  <c r="L196" i="19" s="1"/>
  <c r="L195" i="19" s="1"/>
  <c r="N168" i="19"/>
  <c r="M168" i="19"/>
  <c r="L168" i="19" s="1"/>
  <c r="L167" i="19" s="1"/>
  <c r="L166" i="19" s="1"/>
  <c r="L165" i="19" s="1"/>
  <c r="L164" i="19" s="1"/>
  <c r="L163" i="19" s="1"/>
  <c r="L162" i="19" s="1"/>
  <c r="L161" i="19" s="1"/>
  <c r="M223" i="3"/>
  <c r="H516" i="7"/>
  <c r="H515" i="7" s="1"/>
  <c r="M85" i="3"/>
  <c r="L86" i="3"/>
  <c r="L85" i="3" s="1"/>
  <c r="M76" i="3" l="1"/>
  <c r="N50" i="19"/>
  <c r="M50" i="19"/>
  <c r="L50" i="19" s="1"/>
  <c r="L49" i="19" s="1"/>
  <c r="L48" i="19" s="1"/>
  <c r="L47" i="19" s="1"/>
  <c r="L46" i="19" s="1"/>
  <c r="L15" i="19" s="1"/>
  <c r="L14" i="19" s="1"/>
  <c r="N216" i="19" l="1"/>
  <c r="M216" i="19"/>
  <c r="L216" i="19" s="1"/>
  <c r="L215" i="19" s="1"/>
  <c r="M97" i="3" l="1"/>
  <c r="M109" i="3"/>
  <c r="M311" i="3"/>
  <c r="L312" i="3"/>
  <c r="N239" i="19" l="1"/>
  <c r="M239" i="19"/>
  <c r="L239" i="19" s="1"/>
  <c r="L238" i="19" s="1"/>
  <c r="L237" i="19" s="1"/>
  <c r="L236" i="19" s="1"/>
  <c r="L235" i="19" s="1"/>
  <c r="N220" i="19"/>
  <c r="M220" i="19"/>
  <c r="L220" i="19" s="1"/>
  <c r="L219" i="19" s="1"/>
  <c r="L214" i="19" s="1"/>
  <c r="L213" i="19" s="1"/>
  <c r="L208" i="19" s="1"/>
  <c r="M486" i="3"/>
  <c r="M485" i="3" s="1"/>
  <c r="M605" i="3"/>
  <c r="M650" i="3"/>
  <c r="L207" i="19" l="1"/>
  <c r="L206" i="19" s="1"/>
  <c r="L205" i="19" s="1"/>
  <c r="M342" i="3"/>
  <c r="M426" i="19" l="1"/>
  <c r="L426" i="19" s="1"/>
  <c r="L425" i="19" s="1"/>
  <c r="M602" i="3" l="1"/>
  <c r="L46" i="3" l="1"/>
  <c r="C32" i="2"/>
  <c r="N422" i="19" l="1"/>
  <c r="M422" i="19"/>
  <c r="L422" i="19" s="1"/>
  <c r="L421" i="19" s="1"/>
  <c r="M424" i="19"/>
  <c r="L424" i="19" s="1"/>
  <c r="L423" i="19" s="1"/>
  <c r="N426" i="19"/>
  <c r="M578" i="3"/>
  <c r="H160" i="7" s="1"/>
  <c r="L420" i="19" l="1"/>
  <c r="L419" i="19" s="1"/>
  <c r="H159" i="7"/>
  <c r="M577" i="3"/>
  <c r="L578" i="3"/>
  <c r="L577" i="3" s="1"/>
  <c r="L761" i="3" l="1"/>
  <c r="L760" i="3"/>
  <c r="L758" i="3"/>
  <c r="L757" i="3"/>
  <c r="L755" i="3"/>
  <c r="L754" i="3"/>
  <c r="L748" i="3"/>
  <c r="L747" i="3"/>
  <c r="L745" i="3"/>
  <c r="L744" i="3"/>
  <c r="L740" i="3"/>
  <c r="L739" i="3"/>
  <c r="L737" i="3"/>
  <c r="L736" i="3"/>
  <c r="L727" i="3"/>
  <c r="L726" i="3"/>
  <c r="L725" i="3"/>
  <c r="L719" i="3"/>
  <c r="L718" i="3" s="1"/>
  <c r="L717" i="3"/>
  <c r="L716" i="3"/>
  <c r="L715" i="3"/>
  <c r="L708" i="3"/>
  <c r="L707" i="3" s="1"/>
  <c r="L706" i="3" s="1"/>
  <c r="L705" i="3"/>
  <c r="L704" i="3" s="1"/>
  <c r="L703" i="3" s="1"/>
  <c r="L702" i="3"/>
  <c r="L701" i="3" s="1"/>
  <c r="L700" i="3" s="1"/>
  <c r="L699" i="3"/>
  <c r="L698" i="3" s="1"/>
  <c r="L697" i="3" s="1"/>
  <c r="L690" i="3"/>
  <c r="L689" i="3"/>
  <c r="L688" i="3"/>
  <c r="L682" i="3"/>
  <c r="L681" i="3" s="1"/>
  <c r="L680" i="3"/>
  <c r="L679" i="3" s="1"/>
  <c r="L678" i="3"/>
  <c r="L677" i="3" s="1"/>
  <c r="L676" i="3"/>
  <c r="L675" i="3"/>
  <c r="L674" i="3"/>
  <c r="L670" i="3"/>
  <c r="L669" i="3" s="1"/>
  <c r="L668" i="3" s="1"/>
  <c r="L667" i="3" s="1"/>
  <c r="L658" i="3"/>
  <c r="L657" i="3" s="1"/>
  <c r="L656" i="3" s="1"/>
  <c r="L655" i="3" s="1"/>
  <c r="L652" i="3"/>
  <c r="L651" i="3" s="1"/>
  <c r="L650" i="3"/>
  <c r="L649" i="3"/>
  <c r="L648" i="3"/>
  <c r="L641" i="3"/>
  <c r="L640" i="3" s="1"/>
  <c r="L639" i="3" s="1"/>
  <c r="L638" i="3" s="1"/>
  <c r="L637" i="3" s="1"/>
  <c r="L636" i="3" s="1"/>
  <c r="L635" i="3" s="1"/>
  <c r="L632" i="3"/>
  <c r="L631" i="3"/>
  <c r="L630" i="3"/>
  <c r="L628" i="3"/>
  <c r="L627" i="3"/>
  <c r="L626" i="3"/>
  <c r="L622" i="3"/>
  <c r="L621" i="3" s="1"/>
  <c r="L620" i="3" s="1"/>
  <c r="L619" i="3" s="1"/>
  <c r="L614" i="3"/>
  <c r="L613" i="3"/>
  <c r="L607" i="3"/>
  <c r="L606" i="3"/>
  <c r="L605" i="3"/>
  <c r="L602" i="3"/>
  <c r="L601" i="3" s="1"/>
  <c r="L600" i="3"/>
  <c r="L599" i="3" s="1"/>
  <c r="L598" i="3"/>
  <c r="L597" i="3" s="1"/>
  <c r="L596" i="3"/>
  <c r="L595" i="3" s="1"/>
  <c r="L594" i="3"/>
  <c r="L593" i="3" s="1"/>
  <c r="L587" i="3"/>
  <c r="L586" i="3" s="1"/>
  <c r="L585" i="3" s="1"/>
  <c r="L584" i="3"/>
  <c r="L583" i="3" s="1"/>
  <c r="L582" i="3" s="1"/>
  <c r="L574" i="3"/>
  <c r="L573" i="3" s="1"/>
  <c r="L572" i="3"/>
  <c r="L571" i="3" s="1"/>
  <c r="L570" i="3"/>
  <c r="L569" i="3" s="1"/>
  <c r="L563" i="3"/>
  <c r="L562" i="3" s="1"/>
  <c r="L561" i="3" s="1"/>
  <c r="L560" i="3"/>
  <c r="L559" i="3" s="1"/>
  <c r="L558" i="3" s="1"/>
  <c r="L540" i="3"/>
  <c r="L539" i="3"/>
  <c r="L532" i="3"/>
  <c r="L531" i="3" s="1"/>
  <c r="L530" i="3"/>
  <c r="L529" i="3" s="1"/>
  <c r="L527" i="3"/>
  <c r="L526" i="3"/>
  <c r="L522" i="3"/>
  <c r="L521" i="3"/>
  <c r="L519" i="3"/>
  <c r="L518" i="3"/>
  <c r="L517" i="3"/>
  <c r="L516" i="3"/>
  <c r="L514" i="3"/>
  <c r="L513" i="3"/>
  <c r="L512" i="3"/>
  <c r="L508" i="3"/>
  <c r="L507" i="3" s="1"/>
  <c r="L506" i="3" s="1"/>
  <c r="L505" i="3" s="1"/>
  <c r="L502" i="3"/>
  <c r="L501" i="3" s="1"/>
  <c r="L500" i="3" s="1"/>
  <c r="L499" i="3" s="1"/>
  <c r="L498" i="3" s="1"/>
  <c r="L497" i="3" s="1"/>
  <c r="L496" i="3"/>
  <c r="L495" i="3"/>
  <c r="L493" i="3"/>
  <c r="L492" i="3" s="1"/>
  <c r="L488" i="3"/>
  <c r="L487" i="3" s="1"/>
  <c r="L486" i="3"/>
  <c r="L485" i="3" s="1"/>
  <c r="L484" i="3"/>
  <c r="L483" i="3" s="1"/>
  <c r="L482" i="3"/>
  <c r="L481" i="3" s="1"/>
  <c r="L476" i="3"/>
  <c r="L475" i="3" s="1"/>
  <c r="L474" i="3" s="1"/>
  <c r="L473" i="3" s="1"/>
  <c r="L468" i="3"/>
  <c r="L467" i="3"/>
  <c r="L466" i="3"/>
  <c r="L464" i="3"/>
  <c r="L463" i="3" s="1"/>
  <c r="L459" i="3"/>
  <c r="L458" i="3"/>
  <c r="L456" i="3"/>
  <c r="L455" i="3" s="1"/>
  <c r="L452" i="3"/>
  <c r="L451" i="3"/>
  <c r="L449" i="3"/>
  <c r="L448" i="3"/>
  <c r="L447" i="3"/>
  <c r="L445" i="3"/>
  <c r="L444" i="3"/>
  <c r="L443" i="3"/>
  <c r="L462" i="3"/>
  <c r="L461" i="3"/>
  <c r="L441" i="3"/>
  <c r="L440" i="3" s="1"/>
  <c r="L439" i="3"/>
  <c r="L438" i="3"/>
  <c r="L436" i="3"/>
  <c r="L435" i="3"/>
  <c r="L433" i="3"/>
  <c r="L431" i="3" s="1"/>
  <c r="L430" i="3"/>
  <c r="L429" i="3"/>
  <c r="L428" i="3"/>
  <c r="L427" i="3"/>
  <c r="L421" i="3"/>
  <c r="L420" i="3" s="1"/>
  <c r="L419" i="3" s="1"/>
  <c r="L418" i="3" s="1"/>
  <c r="L417" i="3" s="1"/>
  <c r="L416" i="3"/>
  <c r="L415" i="3" s="1"/>
  <c r="L414" i="3"/>
  <c r="L413" i="3" s="1"/>
  <c r="L412" i="3"/>
  <c r="L411" i="3" s="1"/>
  <c r="L410" i="3"/>
  <c r="L409" i="3" s="1"/>
  <c r="L408" i="3"/>
  <c r="L407" i="3" s="1"/>
  <c r="L406" i="3"/>
  <c r="L405" i="3" s="1"/>
  <c r="L399" i="3"/>
  <c r="L398" i="3" s="1"/>
  <c r="L397" i="3" s="1"/>
  <c r="L396" i="3"/>
  <c r="L395" i="3" s="1"/>
  <c r="L394" i="3" s="1"/>
  <c r="L393" i="3"/>
  <c r="L392" i="3" s="1"/>
  <c r="L391" i="3" s="1"/>
  <c r="L390" i="3"/>
  <c r="L389" i="3" s="1"/>
  <c r="L388" i="3" s="1"/>
  <c r="L381" i="3"/>
  <c r="L380" i="3" s="1"/>
  <c r="L379" i="3" s="1"/>
  <c r="L378" i="3" s="1"/>
  <c r="L377" i="3" s="1"/>
  <c r="L376" i="3" s="1"/>
  <c r="L375" i="3" s="1"/>
  <c r="L374" i="3"/>
  <c r="L373" i="3" s="1"/>
  <c r="L372" i="3"/>
  <c r="L371" i="3" s="1"/>
  <c r="L365" i="3"/>
  <c r="L364" i="3" s="1"/>
  <c r="L363" i="3" s="1"/>
  <c r="L362" i="3" s="1"/>
  <c r="L361" i="3" s="1"/>
  <c r="L360" i="3" s="1"/>
  <c r="L359" i="3"/>
  <c r="L358" i="3" s="1"/>
  <c r="L342" i="3"/>
  <c r="L341" i="3" s="1"/>
  <c r="L340" i="3" s="1"/>
  <c r="L339" i="3" s="1"/>
  <c r="L338" i="3" s="1"/>
  <c r="L337" i="3" s="1"/>
  <c r="L331" i="3"/>
  <c r="L330" i="3" s="1"/>
  <c r="L329" i="3" s="1"/>
  <c r="L328" i="3" s="1"/>
  <c r="L324" i="3"/>
  <c r="L323" i="3"/>
  <c r="L318" i="3"/>
  <c r="L317" i="3" s="1"/>
  <c r="L316" i="3" s="1"/>
  <c r="L315" i="3" s="1"/>
  <c r="L314" i="3" s="1"/>
  <c r="L313" i="3"/>
  <c r="L308" i="3"/>
  <c r="L307" i="3" s="1"/>
  <c r="L306" i="3" s="1"/>
  <c r="L305" i="3"/>
  <c r="L304" i="3" s="1"/>
  <c r="L303" i="3" s="1"/>
  <c r="L302" i="3"/>
  <c r="L301" i="3" s="1"/>
  <c r="L300" i="3"/>
  <c r="L299" i="3"/>
  <c r="L298" i="3"/>
  <c r="L296" i="3"/>
  <c r="L295" i="3"/>
  <c r="L294" i="3"/>
  <c r="L290" i="3"/>
  <c r="L289" i="3" s="1"/>
  <c r="L288" i="3" s="1"/>
  <c r="L287" i="3"/>
  <c r="L286" i="3" s="1"/>
  <c r="L285" i="3" s="1"/>
  <c r="L278" i="3"/>
  <c r="L277" i="3" s="1"/>
  <c r="L276" i="3" s="1"/>
  <c r="L275" i="3" s="1"/>
  <c r="L274" i="3" s="1"/>
  <c r="L273" i="3" s="1"/>
  <c r="L272" i="3"/>
  <c r="L271" i="3" s="1"/>
  <c r="L270" i="3"/>
  <c r="L269" i="3"/>
  <c r="L268" i="3"/>
  <c r="L254" i="3"/>
  <c r="L253" i="3" s="1"/>
  <c r="L252" i="3" s="1"/>
  <c r="L251" i="3" s="1"/>
  <c r="L250" i="3" s="1"/>
  <c r="L249" i="3" s="1"/>
  <c r="L248" i="3" s="1"/>
  <c r="L247" i="3"/>
  <c r="L246" i="3" s="1"/>
  <c r="L245" i="3" s="1"/>
  <c r="L244" i="3" s="1"/>
  <c r="L243" i="3" s="1"/>
  <c r="L242" i="3" s="1"/>
  <c r="L241" i="3" s="1"/>
  <c r="L240" i="3"/>
  <c r="L239" i="3" s="1"/>
  <c r="L238" i="3" s="1"/>
  <c r="L237" i="3"/>
  <c r="L236" i="3" s="1"/>
  <c r="L235" i="3" s="1"/>
  <c r="L234" i="3"/>
  <c r="L233" i="3" s="1"/>
  <c r="L232" i="3" s="1"/>
  <c r="L228" i="3"/>
  <c r="L227" i="3" s="1"/>
  <c r="L226" i="3" s="1"/>
  <c r="L225" i="3"/>
  <c r="L223" i="3"/>
  <c r="L203" i="3"/>
  <c r="L202" i="3" s="1"/>
  <c r="L201" i="3" s="1"/>
  <c r="L200" i="3" s="1"/>
  <c r="L199" i="3" s="1"/>
  <c r="L198" i="3" s="1"/>
  <c r="L197" i="3" s="1"/>
  <c r="L817" i="3" s="1"/>
  <c r="L818" i="3" s="1"/>
  <c r="L196" i="3"/>
  <c r="L195" i="3" s="1"/>
  <c r="L194" i="3" s="1"/>
  <c r="L193" i="3" s="1"/>
  <c r="L192" i="3" s="1"/>
  <c r="L191" i="3" s="1"/>
  <c r="L184" i="3"/>
  <c r="L183" i="3" s="1"/>
  <c r="L182" i="3" s="1"/>
  <c r="L181" i="3" s="1"/>
  <c r="L180" i="3" s="1"/>
  <c r="L179" i="3" s="1"/>
  <c r="L174" i="3"/>
  <c r="L173" i="3" s="1"/>
  <c r="L172" i="3" s="1"/>
  <c r="L167" i="3"/>
  <c r="L166" i="3" s="1"/>
  <c r="L165" i="3" s="1"/>
  <c r="L164" i="3" s="1"/>
  <c r="L163" i="3" s="1"/>
  <c r="L162" i="3" s="1"/>
  <c r="L155" i="3"/>
  <c r="L154" i="3" s="1"/>
  <c r="L153" i="3" s="1"/>
  <c r="L152" i="3" s="1"/>
  <c r="L151" i="3" s="1"/>
  <c r="L150" i="3"/>
  <c r="L149" i="3" s="1"/>
  <c r="L148" i="3" s="1"/>
  <c r="L147" i="3" s="1"/>
  <c r="L146" i="3"/>
  <c r="L145" i="3" s="1"/>
  <c r="L144" i="3" s="1"/>
  <c r="L143" i="3" s="1"/>
  <c r="L140" i="3"/>
  <c r="L139" i="3" s="1"/>
  <c r="L138" i="3" s="1"/>
  <c r="L137" i="3" s="1"/>
  <c r="L136" i="3" s="1"/>
  <c r="L135" i="3" s="1"/>
  <c r="L783" i="3" s="1"/>
  <c r="L134" i="3"/>
  <c r="L133" i="3" s="1"/>
  <c r="L132" i="3" s="1"/>
  <c r="L131" i="3"/>
  <c r="L130" i="3" s="1"/>
  <c r="L129" i="3" s="1"/>
  <c r="L124" i="3"/>
  <c r="L123" i="3" s="1"/>
  <c r="L122" i="3" s="1"/>
  <c r="L121" i="3" s="1"/>
  <c r="L120" i="3"/>
  <c r="L119" i="3"/>
  <c r="L118" i="3"/>
  <c r="L114" i="3"/>
  <c r="L113" i="3" s="1"/>
  <c r="L112" i="3" s="1"/>
  <c r="L111" i="3"/>
  <c r="L110" i="3" s="1"/>
  <c r="L109" i="3"/>
  <c r="L108" i="3" s="1"/>
  <c r="L103" i="3"/>
  <c r="L102" i="3" s="1"/>
  <c r="L101" i="3"/>
  <c r="L100" i="3" s="1"/>
  <c r="L99" i="3"/>
  <c r="L98" i="3" s="1"/>
  <c r="L97" i="3"/>
  <c r="L96" i="3" s="1"/>
  <c r="L84" i="3"/>
  <c r="L83" i="3"/>
  <c r="L82" i="3"/>
  <c r="L76" i="3"/>
  <c r="L75" i="3" s="1"/>
  <c r="L74" i="3"/>
  <c r="L73" i="3" s="1"/>
  <c r="L71" i="3"/>
  <c r="L70" i="3"/>
  <c r="L67" i="3"/>
  <c r="L66" i="3" s="1"/>
  <c r="L65" i="3" s="1"/>
  <c r="L62" i="3"/>
  <c r="L61" i="3" s="1"/>
  <c r="L60" i="3" s="1"/>
  <c r="L59" i="3" s="1"/>
  <c r="L58" i="3" s="1"/>
  <c r="L51" i="3"/>
  <c r="L50" i="3" s="1"/>
  <c r="L49" i="3" s="1"/>
  <c r="L48" i="3" s="1"/>
  <c r="L47" i="3" s="1"/>
  <c r="L774" i="3" s="1"/>
  <c r="L45" i="3"/>
  <c r="L44" i="3" s="1"/>
  <c r="L43" i="3" s="1"/>
  <c r="L42" i="3" s="1"/>
  <c r="L41" i="3" s="1"/>
  <c r="L772" i="3" s="1"/>
  <c r="L37" i="3"/>
  <c r="L36" i="3"/>
  <c r="L34" i="3"/>
  <c r="L33" i="3"/>
  <c r="L31" i="3"/>
  <c r="L30" i="3" s="1"/>
  <c r="L29" i="3"/>
  <c r="L28" i="3" s="1"/>
  <c r="L27" i="3"/>
  <c r="L26" i="3"/>
  <c r="L25" i="3"/>
  <c r="L19" i="3"/>
  <c r="L805" i="3" l="1"/>
  <c r="L178" i="3"/>
  <c r="L355" i="3"/>
  <c r="L354" i="3" s="1"/>
  <c r="L353" i="3" s="1"/>
  <c r="L352" i="3" s="1"/>
  <c r="L343" i="3" s="1"/>
  <c r="L171" i="3"/>
  <c r="L170" i="3" s="1"/>
  <c r="L169" i="3" s="1"/>
  <c r="L568" i="3"/>
  <c r="L18" i="3"/>
  <c r="L17" i="3" s="1"/>
  <c r="L16" i="3" s="1"/>
  <c r="L15" i="3" s="1"/>
  <c r="L14" i="3" s="1"/>
  <c r="L770" i="3" s="1"/>
  <c r="L327" i="3"/>
  <c r="L326" i="3" s="1"/>
  <c r="L325" i="3" s="1"/>
  <c r="L738" i="3"/>
  <c r="L81" i="3"/>
  <c r="L80" i="3" s="1"/>
  <c r="L311" i="3"/>
  <c r="L310" i="3" s="1"/>
  <c r="L309" i="3" s="1"/>
  <c r="L612" i="3"/>
  <c r="L746" i="3"/>
  <c r="L32" i="3"/>
  <c r="L437" i="3"/>
  <c r="L647" i="3"/>
  <c r="L646" i="3" s="1"/>
  <c r="L645" i="3" s="1"/>
  <c r="L644" i="3" s="1"/>
  <c r="L643" i="3" s="1"/>
  <c r="L811" i="3" s="1"/>
  <c r="L714" i="3"/>
  <c r="L713" i="3" s="1"/>
  <c r="L712" i="3" s="1"/>
  <c r="L711" i="3" s="1"/>
  <c r="L710" i="3" s="1"/>
  <c r="L797" i="3" s="1"/>
  <c r="L434" i="3"/>
  <c r="L494" i="3"/>
  <c r="L520" i="3"/>
  <c r="L450" i="3"/>
  <c r="L297" i="3"/>
  <c r="L24" i="3"/>
  <c r="L267" i="3"/>
  <c r="L266" i="3" s="1"/>
  <c r="L265" i="3" s="1"/>
  <c r="L264" i="3" s="1"/>
  <c r="L263" i="3" s="1"/>
  <c r="L262" i="3" s="1"/>
  <c r="L426" i="3"/>
  <c r="L460" i="3"/>
  <c r="L525" i="3"/>
  <c r="L673" i="3"/>
  <c r="L672" i="3" s="1"/>
  <c r="L671" i="3" s="1"/>
  <c r="L666" i="3" s="1"/>
  <c r="L665" i="3" s="1"/>
  <c r="L457" i="3"/>
  <c r="L465" i="3"/>
  <c r="L511" i="3"/>
  <c r="L515" i="3"/>
  <c r="L604" i="3"/>
  <c r="L603" i="3" s="1"/>
  <c r="L625" i="3"/>
  <c r="L687" i="3"/>
  <c r="L686" i="3" s="1"/>
  <c r="L685" i="3" s="1"/>
  <c r="L684" i="3" s="1"/>
  <c r="L683" i="3" s="1"/>
  <c r="L814" i="3" s="1"/>
  <c r="L756" i="3"/>
  <c r="L293" i="3"/>
  <c r="L567" i="3"/>
  <c r="L566" i="3" s="1"/>
  <c r="L565" i="3" s="1"/>
  <c r="L442" i="3"/>
  <c r="L35" i="3"/>
  <c r="L117" i="3"/>
  <c r="L116" i="3" s="1"/>
  <c r="L115" i="3" s="1"/>
  <c r="L69" i="3"/>
  <c r="L68" i="3" s="1"/>
  <c r="L72" i="3"/>
  <c r="L724" i="3"/>
  <c r="L723" i="3" s="1"/>
  <c r="L722" i="3" s="1"/>
  <c r="L721" i="3" s="1"/>
  <c r="L720" i="3" s="1"/>
  <c r="L538" i="3"/>
  <c r="L537" i="3" s="1"/>
  <c r="L536" i="3" s="1"/>
  <c r="L535" i="3" s="1"/>
  <c r="L534" i="3" s="1"/>
  <c r="L533" i="3" s="1"/>
  <c r="L735" i="3"/>
  <c r="L322" i="3"/>
  <c r="L321" i="3" s="1"/>
  <c r="L320" i="3" s="1"/>
  <c r="L319" i="3" s="1"/>
  <c r="L446" i="3"/>
  <c r="L629" i="3"/>
  <c r="L743" i="3"/>
  <c r="L753" i="3"/>
  <c r="L759" i="3"/>
  <c r="L231" i="3"/>
  <c r="L230" i="3" s="1"/>
  <c r="L229" i="3" s="1"/>
  <c r="L528" i="3"/>
  <c r="L107" i="3"/>
  <c r="L106" i="3" s="1"/>
  <c r="L370" i="3"/>
  <c r="L369" i="3" s="1"/>
  <c r="L368" i="3" s="1"/>
  <c r="L367" i="3" s="1"/>
  <c r="L557" i="3"/>
  <c r="L556" i="3" s="1"/>
  <c r="L555" i="3" s="1"/>
  <c r="L554" i="3" s="1"/>
  <c r="L95" i="3"/>
  <c r="L94" i="3" s="1"/>
  <c r="L93" i="3" s="1"/>
  <c r="L92" i="3" s="1"/>
  <c r="L778" i="3" s="1"/>
  <c r="L142" i="3"/>
  <c r="L592" i="3"/>
  <c r="L788" i="3"/>
  <c r="L336" i="3"/>
  <c r="L820" i="3"/>
  <c r="L823" i="3" s="1"/>
  <c r="L790" i="3"/>
  <c r="L161" i="3"/>
  <c r="L284" i="3"/>
  <c r="L387" i="3"/>
  <c r="L386" i="3" s="1"/>
  <c r="L385" i="3" s="1"/>
  <c r="L384" i="3" s="1"/>
  <c r="L128" i="3"/>
  <c r="L127" i="3" s="1"/>
  <c r="L126" i="3" s="1"/>
  <c r="L581" i="3"/>
  <c r="L580" i="3" s="1"/>
  <c r="L579" i="3" s="1"/>
  <c r="L696" i="3"/>
  <c r="L695" i="3" s="1"/>
  <c r="L694" i="3" s="1"/>
  <c r="L693" i="3" s="1"/>
  <c r="L404" i="3"/>
  <c r="L403" i="3" s="1"/>
  <c r="L402" i="3" s="1"/>
  <c r="L401" i="3" s="1"/>
  <c r="L366" i="3" l="1"/>
  <c r="L168" i="3"/>
  <c r="L796" i="3"/>
  <c r="L510" i="3"/>
  <c r="L509" i="3" s="1"/>
  <c r="L504" i="3" s="1"/>
  <c r="L503" i="3" s="1"/>
  <c r="L798" i="3" s="1"/>
  <c r="L734" i="3"/>
  <c r="L733" i="3" s="1"/>
  <c r="L732" i="3" s="1"/>
  <c r="L731" i="3" s="1"/>
  <c r="L807" i="3" s="1"/>
  <c r="L425" i="3"/>
  <c r="L64" i="3"/>
  <c r="L63" i="3" s="1"/>
  <c r="L52" i="3" s="1"/>
  <c r="L624" i="3"/>
  <c r="L623" i="3" s="1"/>
  <c r="L618" i="3" s="1"/>
  <c r="L617" i="3" s="1"/>
  <c r="L802" i="3" s="1"/>
  <c r="L292" i="3"/>
  <c r="L291" i="3" s="1"/>
  <c r="L283" i="3" s="1"/>
  <c r="L282" i="3" s="1"/>
  <c r="L281" i="3" s="1"/>
  <c r="L280" i="3" s="1"/>
  <c r="L23" i="3"/>
  <c r="L105" i="3"/>
  <c r="L104" i="3" s="1"/>
  <c r="L779" i="3" s="1"/>
  <c r="L780" i="3" s="1"/>
  <c r="L591" i="3"/>
  <c r="L480" i="3"/>
  <c r="L479" i="3" s="1"/>
  <c r="L478" i="3" s="1"/>
  <c r="L477" i="3" s="1"/>
  <c r="L795" i="3" s="1"/>
  <c r="L709" i="3"/>
  <c r="L692" i="3" s="1"/>
  <c r="L564" i="3"/>
  <c r="L752" i="3"/>
  <c r="L751" i="3" s="1"/>
  <c r="L750" i="3" s="1"/>
  <c r="L749" i="3" s="1"/>
  <c r="L808" i="3" s="1"/>
  <c r="L793" i="3"/>
  <c r="L791" i="3"/>
  <c r="L782" i="3"/>
  <c r="L22" i="3" l="1"/>
  <c r="L21" i="3" s="1"/>
  <c r="L20" i="3" s="1"/>
  <c r="L424" i="3"/>
  <c r="L423" i="3" s="1"/>
  <c r="L422" i="3" s="1"/>
  <c r="L794" i="3" s="1"/>
  <c r="L799" i="3" s="1"/>
  <c r="L809" i="3"/>
  <c r="L91" i="3"/>
  <c r="L775" i="3"/>
  <c r="L730" i="3"/>
  <c r="L729" i="3" s="1"/>
  <c r="L771" i="3" l="1"/>
  <c r="L13" i="3"/>
  <c r="L400" i="3"/>
  <c r="L548" i="3" l="1"/>
  <c r="L546" i="3" l="1"/>
  <c r="L545" i="3" l="1"/>
  <c r="L544" i="3" s="1"/>
  <c r="L543" i="3" s="1"/>
  <c r="L542" i="3" s="1"/>
  <c r="L541" i="3" s="1"/>
  <c r="L383" i="3" s="1"/>
  <c r="F51" i="6"/>
  <c r="E51" i="6"/>
  <c r="L813" i="3" l="1"/>
  <c r="H265" i="7"/>
  <c r="H264" i="7" s="1"/>
  <c r="H125" i="7" l="1"/>
  <c r="H124" i="7" s="1"/>
  <c r="H503" i="7" l="1"/>
  <c r="H502" i="7" s="1"/>
  <c r="H501" i="7" s="1"/>
  <c r="M202" i="3" l="1"/>
  <c r="M201" i="3" s="1"/>
  <c r="M200" i="3" s="1"/>
  <c r="M199" i="3" s="1"/>
  <c r="M198" i="3" s="1"/>
  <c r="M197" i="3" s="1"/>
  <c r="M817" i="3" s="1"/>
  <c r="D52" i="6" s="1"/>
  <c r="D51" i="6" s="1"/>
  <c r="E28" i="8" l="1"/>
  <c r="E27" i="8" s="1"/>
  <c r="E26" i="8" s="1"/>
  <c r="E25" i="8" s="1"/>
  <c r="D28" i="8"/>
  <c r="D27" i="8" s="1"/>
  <c r="D26" i="8" s="1"/>
  <c r="D25" i="8" s="1"/>
  <c r="C28" i="8"/>
  <c r="C27" i="8" s="1"/>
  <c r="C26" i="8" s="1"/>
  <c r="E14" i="8"/>
  <c r="E13" i="8" s="1"/>
  <c r="E12" i="8" s="1"/>
  <c r="D14" i="8"/>
  <c r="D13" i="8" s="1"/>
  <c r="D12" i="8" s="1"/>
  <c r="C14" i="8"/>
  <c r="C12" i="8"/>
  <c r="M160" i="3" l="1"/>
  <c r="L160" i="3" s="1"/>
  <c r="L159" i="3" s="1"/>
  <c r="L158" i="3" s="1"/>
  <c r="L157" i="3" s="1"/>
  <c r="L156" i="3" s="1"/>
  <c r="L141" i="3" s="1"/>
  <c r="L784" i="3" l="1"/>
  <c r="L785" i="3" s="1"/>
  <c r="L125" i="3"/>
  <c r="L12" i="3" s="1"/>
  <c r="N433" i="19"/>
  <c r="N435" i="19"/>
  <c r="M435" i="19"/>
  <c r="L435" i="19" s="1"/>
  <c r="L434" i="19" s="1"/>
  <c r="M433" i="19" l="1"/>
  <c r="L433" i="19" s="1"/>
  <c r="L432" i="19" s="1"/>
  <c r="L431" i="19" s="1"/>
  <c r="L430" i="19" s="1"/>
  <c r="L418" i="19" s="1"/>
  <c r="L417" i="19" s="1"/>
  <c r="L416" i="19" s="1"/>
  <c r="L393" i="19" s="1"/>
  <c r="I132" i="18" l="1"/>
  <c r="I130" i="18"/>
  <c r="I129" i="18" s="1"/>
  <c r="H130" i="18"/>
  <c r="H129" i="18" s="1"/>
  <c r="H132" i="18"/>
  <c r="N425" i="19"/>
  <c r="N423" i="19"/>
  <c r="M423" i="19"/>
  <c r="M425" i="19" l="1"/>
  <c r="H203" i="7" l="1"/>
  <c r="H202" i="7" s="1"/>
  <c r="M559" i="3"/>
  <c r="M558" i="3" s="1"/>
  <c r="M616" i="3"/>
  <c r="L616" i="3" s="1"/>
  <c r="L615" i="3" s="1"/>
  <c r="L611" i="3" s="1"/>
  <c r="L610" i="3" s="1"/>
  <c r="L590" i="3" s="1"/>
  <c r="L589" i="3" s="1"/>
  <c r="L801" i="3" l="1"/>
  <c r="L803" i="3" s="1"/>
  <c r="L588" i="3"/>
  <c r="L553" i="3" s="1"/>
  <c r="C28" i="27"/>
  <c r="E12" i="5"/>
  <c r="D12" i="5"/>
  <c r="C12" i="5"/>
  <c r="M698" i="3" l="1"/>
  <c r="M697" i="3" s="1"/>
  <c r="F30" i="6" l="1"/>
  <c r="H389" i="7" l="1"/>
  <c r="M371" i="3"/>
  <c r="I79" i="18" l="1"/>
  <c r="I78" i="18" s="1"/>
  <c r="M346" i="19"/>
  <c r="N345" i="19"/>
  <c r="M317" i="19"/>
  <c r="H72" i="7"/>
  <c r="H71" i="7" s="1"/>
  <c r="H116" i="7"/>
  <c r="H123" i="7"/>
  <c r="H122" i="7" s="1"/>
  <c r="H79" i="18" l="1"/>
  <c r="H78" i="18" s="1"/>
  <c r="L346" i="19"/>
  <c r="L345" i="19" s="1"/>
  <c r="L340" i="19" s="1"/>
  <c r="L339" i="19" s="1"/>
  <c r="L338" i="19" s="1"/>
  <c r="L337" i="19" s="1"/>
  <c r="L278" i="19" s="1"/>
  <c r="L264" i="19" s="1"/>
  <c r="L13" i="19" s="1"/>
  <c r="M345" i="19"/>
  <c r="M463" i="3"/>
  <c r="M455" i="3"/>
  <c r="M389" i="3"/>
  <c r="M388" i="3" s="1"/>
  <c r="C48" i="2" l="1"/>
  <c r="I407" i="18" l="1"/>
  <c r="H407" i="18"/>
  <c r="H387" i="18" l="1"/>
  <c r="H386" i="18" s="1"/>
  <c r="M77" i="19"/>
  <c r="N77" i="19"/>
  <c r="N66" i="19"/>
  <c r="N65" i="19" s="1"/>
  <c r="N64" i="19" s="1"/>
  <c r="M65" i="19"/>
  <c r="M64" i="19" s="1"/>
  <c r="H471" i="7"/>
  <c r="H470" i="7" s="1"/>
  <c r="M66" i="3"/>
  <c r="M65" i="3" s="1"/>
  <c r="I387" i="18" l="1"/>
  <c r="I386" i="18" s="1"/>
  <c r="M24" i="3"/>
  <c r="C23" i="16" l="1"/>
  <c r="C62" i="2"/>
  <c r="H391" i="7" l="1"/>
  <c r="H390" i="7" s="1"/>
  <c r="M373" i="3"/>
  <c r="M370" i="3" s="1"/>
  <c r="M664" i="3" l="1"/>
  <c r="L664" i="3" s="1"/>
  <c r="L663" i="3" s="1"/>
  <c r="H212" i="7"/>
  <c r="H226" i="7"/>
  <c r="H225" i="7"/>
  <c r="H224" i="7"/>
  <c r="L660" i="3" l="1"/>
  <c r="L659" i="3" s="1"/>
  <c r="L654" i="3" s="1"/>
  <c r="L653" i="3" s="1"/>
  <c r="H317" i="7"/>
  <c r="H316" i="7" s="1"/>
  <c r="L812" i="3" l="1"/>
  <c r="L815" i="3" s="1"/>
  <c r="L642" i="3"/>
  <c r="L634" i="3" s="1"/>
  <c r="C60" i="2"/>
  <c r="C52" i="2" l="1"/>
  <c r="C39" i="27"/>
  <c r="M224" i="3" l="1"/>
  <c r="L224" i="3" s="1"/>
  <c r="L222" i="3" s="1"/>
  <c r="L221" i="3" s="1"/>
  <c r="L220" i="3" s="1"/>
  <c r="L219" i="3" s="1"/>
  <c r="L218" i="3" s="1"/>
  <c r="L773" i="3" l="1"/>
  <c r="L776" i="3" s="1"/>
  <c r="L824" i="3" s="1"/>
  <c r="L217" i="3"/>
  <c r="L216" i="3" s="1"/>
  <c r="L11" i="3" s="1"/>
  <c r="M233" i="3"/>
  <c r="M232" i="3" s="1"/>
  <c r="M501" i="3" l="1"/>
  <c r="M500" i="3" s="1"/>
  <c r="M499" i="3" s="1"/>
  <c r="M498" i="3" l="1"/>
  <c r="M497" i="3" s="1"/>
  <c r="H103" i="7" l="1"/>
  <c r="M494" i="3"/>
  <c r="H232" i="7" l="1"/>
  <c r="H231" i="7" s="1"/>
  <c r="M663" i="3"/>
  <c r="M660" i="3" l="1"/>
  <c r="M659" i="3" s="1"/>
  <c r="M520" i="3"/>
  <c r="M222" i="3" l="1"/>
  <c r="M221" i="3" s="1"/>
  <c r="M475" i="3" l="1"/>
  <c r="H506" i="7" l="1"/>
  <c r="H505" i="7" s="1"/>
  <c r="H504" i="7" s="1"/>
  <c r="M159" i="3"/>
  <c r="M158" i="3" s="1"/>
  <c r="M157" i="3" s="1"/>
  <c r="D23" i="16" l="1"/>
  <c r="I178" i="18" l="1"/>
  <c r="H178" i="18"/>
  <c r="I176" i="18"/>
  <c r="H176" i="18"/>
  <c r="I174" i="18"/>
  <c r="H174" i="18"/>
  <c r="I173" i="18"/>
  <c r="H173" i="18"/>
  <c r="I172" i="18"/>
  <c r="H172" i="18"/>
  <c r="I160" i="18"/>
  <c r="M478" i="19"/>
  <c r="M477" i="19" s="1"/>
  <c r="M476" i="19" s="1"/>
  <c r="N478" i="19"/>
  <c r="N477" i="19" s="1"/>
  <c r="N476" i="19" s="1"/>
  <c r="N490" i="19"/>
  <c r="H180" i="18"/>
  <c r="N488" i="19"/>
  <c r="M488" i="19"/>
  <c r="N486" i="19"/>
  <c r="M486" i="19"/>
  <c r="N482" i="19"/>
  <c r="M482" i="19"/>
  <c r="H234" i="7"/>
  <c r="H230" i="7"/>
  <c r="M679" i="3"/>
  <c r="M681" i="3"/>
  <c r="M677" i="3"/>
  <c r="M673" i="3"/>
  <c r="M669" i="3"/>
  <c r="M668" i="3" s="1"/>
  <c r="M667" i="3" s="1"/>
  <c r="M672" i="3" l="1"/>
  <c r="N481" i="19"/>
  <c r="N480" i="19" s="1"/>
  <c r="N475" i="19" s="1"/>
  <c r="N474" i="19" s="1"/>
  <c r="N616" i="19" s="1"/>
  <c r="M490" i="19"/>
  <c r="M481" i="19" s="1"/>
  <c r="H160" i="18"/>
  <c r="I180" i="18"/>
  <c r="F49" i="6" l="1"/>
  <c r="M480" i="19"/>
  <c r="M475" i="19" s="1"/>
  <c r="M474" i="19" s="1"/>
  <c r="M616" i="19" s="1"/>
  <c r="M671" i="3"/>
  <c r="M666" i="3" s="1"/>
  <c r="M665" i="3" s="1"/>
  <c r="E49" i="6" l="1"/>
  <c r="H531" i="7"/>
  <c r="H530" i="7" s="1"/>
  <c r="H91" i="7" l="1"/>
  <c r="H90" i="7" s="1"/>
  <c r="M483" i="3"/>
  <c r="H121" i="7" l="1"/>
  <c r="I100" i="18" l="1"/>
  <c r="H100" i="18"/>
  <c r="M367" i="19"/>
  <c r="N367" i="19"/>
  <c r="H248" i="7" l="1"/>
  <c r="H247" i="7" s="1"/>
  <c r="H246" i="7" s="1"/>
  <c r="M380" i="3"/>
  <c r="M379" i="3" s="1"/>
  <c r="M529" i="3" l="1"/>
  <c r="H130" i="7" l="1"/>
  <c r="M525" i="3" l="1"/>
  <c r="H328" i="7" l="1"/>
  <c r="H327" i="7" s="1"/>
  <c r="H326" i="7" s="1"/>
  <c r="M227" i="3" l="1"/>
  <c r="M226" i="3" s="1"/>
  <c r="H215" i="7" l="1"/>
  <c r="C25" i="8" l="1"/>
  <c r="H74" i="7" l="1"/>
  <c r="H73" i="7" s="1"/>
  <c r="M358" i="3"/>
  <c r="M355" i="3" s="1"/>
  <c r="E30" i="6" l="1"/>
  <c r="H417" i="7"/>
  <c r="H416" i="7" s="1"/>
  <c r="H415" i="7" s="1"/>
  <c r="H414" i="7" s="1"/>
  <c r="M166" i="3"/>
  <c r="M165" i="3" s="1"/>
  <c r="M164" i="3" s="1"/>
  <c r="M163" i="3" s="1"/>
  <c r="M162" i="3" s="1"/>
  <c r="M790" i="3" l="1"/>
  <c r="D30" i="6" s="1"/>
  <c r="M161" i="3"/>
  <c r="M604" i="3" l="1"/>
  <c r="M603" i="3" s="1"/>
  <c r="N428" i="19" l="1"/>
  <c r="M428" i="19"/>
  <c r="H135" i="7" l="1"/>
  <c r="H137" i="7"/>
  <c r="M362" i="19"/>
  <c r="I105" i="18"/>
  <c r="H105" i="18"/>
  <c r="N371" i="19"/>
  <c r="N370" i="19" s="1"/>
  <c r="M371" i="19"/>
  <c r="M370" i="19" s="1"/>
  <c r="N335" i="19"/>
  <c r="M335" i="19"/>
  <c r="N317" i="19"/>
  <c r="N303" i="19"/>
  <c r="M303" i="19"/>
  <c r="M531" i="3" l="1"/>
  <c r="M528" i="3" s="1"/>
  <c r="H47" i="7"/>
  <c r="H45" i="7"/>
  <c r="M437" i="3"/>
  <c r="D36" i="16"/>
  <c r="H44" i="7" l="1"/>
  <c r="M277" i="3"/>
  <c r="M276" i="3" s="1"/>
  <c r="M275" i="3" s="1"/>
  <c r="M274" i="3" s="1"/>
  <c r="M273" i="3" s="1"/>
  <c r="I390" i="18" l="1"/>
  <c r="I389" i="18" s="1"/>
  <c r="H390" i="18"/>
  <c r="H389" i="18" s="1"/>
  <c r="N145" i="19"/>
  <c r="N144" i="19" s="1"/>
  <c r="N143" i="19" s="1"/>
  <c r="N142" i="19" s="1"/>
  <c r="N141" i="19" s="1"/>
  <c r="N140" i="19" s="1"/>
  <c r="M145" i="19"/>
  <c r="M144" i="19" s="1"/>
  <c r="M143" i="19" s="1"/>
  <c r="M142" i="19" s="1"/>
  <c r="M141" i="19" s="1"/>
  <c r="I406" i="18"/>
  <c r="H406" i="18"/>
  <c r="I405" i="18"/>
  <c r="H405" i="18"/>
  <c r="N76" i="19"/>
  <c r="M76" i="19"/>
  <c r="I404" i="18" l="1"/>
  <c r="I403" i="18" s="1"/>
  <c r="H404" i="18"/>
  <c r="H403" i="18" s="1"/>
  <c r="M140" i="19"/>
  <c r="H305" i="7" l="1"/>
  <c r="H304" i="7" s="1"/>
  <c r="H303" i="7" s="1"/>
  <c r="H302" i="7" s="1"/>
  <c r="H514" i="7" l="1"/>
  <c r="H512" i="7"/>
  <c r="H511" i="7" l="1"/>
  <c r="H510" i="7" s="1"/>
  <c r="M81" i="3"/>
  <c r="M80" i="3" s="1"/>
  <c r="C36" i="16" l="1"/>
  <c r="H184" i="7" l="1"/>
  <c r="M586" i="3"/>
  <c r="M585" i="3" s="1"/>
  <c r="I175" i="18" l="1"/>
  <c r="H175" i="18"/>
  <c r="M657" i="3" l="1"/>
  <c r="N472" i="19"/>
  <c r="M472" i="19"/>
  <c r="I188" i="18"/>
  <c r="H188" i="18"/>
  <c r="I187" i="18"/>
  <c r="H187" i="18"/>
  <c r="I186" i="18"/>
  <c r="H186" i="18"/>
  <c r="H190" i="18"/>
  <c r="H189" i="18" s="1"/>
  <c r="I190" i="18"/>
  <c r="I189" i="18" s="1"/>
  <c r="N466" i="19"/>
  <c r="M466" i="19"/>
  <c r="M462" i="19"/>
  <c r="N462" i="19"/>
  <c r="N461" i="19" l="1"/>
  <c r="N460" i="19" s="1"/>
  <c r="N459" i="19" s="1"/>
  <c r="M461" i="19"/>
  <c r="M460" i="19" s="1"/>
  <c r="M459" i="19" s="1"/>
  <c r="H185" i="18"/>
  <c r="H184" i="18" s="1"/>
  <c r="I185" i="18"/>
  <c r="I184" i="18" s="1"/>
  <c r="N432" i="19" l="1"/>
  <c r="M432" i="19"/>
  <c r="I131" i="18"/>
  <c r="H168" i="7"/>
  <c r="H167" i="7" s="1"/>
  <c r="M595" i="3"/>
  <c r="D20" i="16"/>
  <c r="D19" i="16" s="1"/>
  <c r="C20" i="16"/>
  <c r="C19" i="16" s="1"/>
  <c r="H131" i="18" l="1"/>
  <c r="N252" i="19"/>
  <c r="N251" i="19" s="1"/>
  <c r="I303" i="18"/>
  <c r="H303" i="18"/>
  <c r="N233" i="19"/>
  <c r="N232" i="19" s="1"/>
  <c r="N231" i="19" s="1"/>
  <c r="M233" i="19"/>
  <c r="M232" i="19" s="1"/>
  <c r="M231" i="19" s="1"/>
  <c r="N250" i="19" l="1"/>
  <c r="N249" i="19" s="1"/>
  <c r="N248" i="19" s="1"/>
  <c r="I249" i="18" l="1"/>
  <c r="I248" i="18" s="1"/>
  <c r="H249" i="18"/>
  <c r="H248" i="18" s="1"/>
  <c r="N185" i="19"/>
  <c r="N184" i="19" s="1"/>
  <c r="N183" i="19" s="1"/>
  <c r="N182" i="19" s="1"/>
  <c r="N181" i="19" s="1"/>
  <c r="N600" i="19" s="1"/>
  <c r="M185" i="19"/>
  <c r="M184" i="19" s="1"/>
  <c r="M183" i="19" s="1"/>
  <c r="M182" i="19" s="1"/>
  <c r="M181" i="19" s="1"/>
  <c r="M600" i="19" s="1"/>
  <c r="N180" i="19" l="1"/>
  <c r="M180" i="19"/>
  <c r="C15" i="27" l="1"/>
  <c r="C14" i="27" s="1"/>
  <c r="C72" i="2" s="1"/>
  <c r="H16" i="18"/>
  <c r="I16" i="18"/>
  <c r="I20" i="18"/>
  <c r="H22" i="18"/>
  <c r="I22" i="18"/>
  <c r="H23" i="18"/>
  <c r="I23" i="18"/>
  <c r="H25" i="18"/>
  <c r="I25" i="18"/>
  <c r="H27" i="18"/>
  <c r="I27" i="18"/>
  <c r="H30" i="18"/>
  <c r="I30" i="18"/>
  <c r="H31" i="18"/>
  <c r="I31" i="18"/>
  <c r="H32" i="18"/>
  <c r="I32" i="18"/>
  <c r="H33" i="18"/>
  <c r="I33" i="18"/>
  <c r="H38" i="18"/>
  <c r="I38" i="18"/>
  <c r="I39" i="18"/>
  <c r="H40" i="18"/>
  <c r="I40" i="18"/>
  <c r="H42" i="18"/>
  <c r="I42" i="18"/>
  <c r="H43" i="18"/>
  <c r="I43" i="18"/>
  <c r="H44" i="18"/>
  <c r="I44" i="18"/>
  <c r="H46" i="18"/>
  <c r="I46" i="18"/>
  <c r="H47" i="18"/>
  <c r="I47" i="18"/>
  <c r="H48" i="18"/>
  <c r="I48" i="18"/>
  <c r="H50" i="18"/>
  <c r="I50" i="18"/>
  <c r="H51" i="18"/>
  <c r="I51" i="18"/>
  <c r="H53" i="18"/>
  <c r="H52" i="18" s="1"/>
  <c r="I53" i="18"/>
  <c r="I52" i="18" s="1"/>
  <c r="H55" i="18"/>
  <c r="I55" i="18"/>
  <c r="H56" i="18"/>
  <c r="I56" i="18"/>
  <c r="H61" i="18"/>
  <c r="I61" i="18"/>
  <c r="H62" i="18"/>
  <c r="I62" i="18"/>
  <c r="H63" i="18"/>
  <c r="I63" i="18"/>
  <c r="H84" i="18"/>
  <c r="I84" i="18"/>
  <c r="H86" i="18"/>
  <c r="I86" i="18"/>
  <c r="I90" i="18"/>
  <c r="H91" i="18"/>
  <c r="I91" i="18"/>
  <c r="H92" i="18"/>
  <c r="I92" i="18"/>
  <c r="I94" i="18"/>
  <c r="H95" i="18"/>
  <c r="I95" i="18"/>
  <c r="I96" i="18"/>
  <c r="H97" i="18"/>
  <c r="I97" i="18"/>
  <c r="H99" i="18"/>
  <c r="H98" i="18" s="1"/>
  <c r="I99" i="18"/>
  <c r="I98" i="18" s="1"/>
  <c r="H102" i="18"/>
  <c r="H101" i="18" s="1"/>
  <c r="I102" i="18"/>
  <c r="I101" i="18" s="1"/>
  <c r="H108" i="18"/>
  <c r="I108" i="18"/>
  <c r="H111" i="18"/>
  <c r="I111" i="18"/>
  <c r="H114" i="18"/>
  <c r="I114" i="18"/>
  <c r="H120" i="18"/>
  <c r="I120" i="18"/>
  <c r="H122" i="18"/>
  <c r="I122" i="18"/>
  <c r="H125" i="18"/>
  <c r="I125" i="18"/>
  <c r="H128" i="18"/>
  <c r="I128" i="18"/>
  <c r="I135" i="18"/>
  <c r="H139" i="18"/>
  <c r="H138" i="18" s="1"/>
  <c r="I139" i="18"/>
  <c r="I138" i="18" s="1"/>
  <c r="H141" i="18"/>
  <c r="H145" i="18"/>
  <c r="I145" i="18"/>
  <c r="H146" i="18"/>
  <c r="I146" i="18"/>
  <c r="H147" i="18"/>
  <c r="I147" i="18"/>
  <c r="H149" i="18"/>
  <c r="I149" i="18"/>
  <c r="H150" i="18"/>
  <c r="I150" i="18"/>
  <c r="H151" i="18"/>
  <c r="I151" i="18"/>
  <c r="H154" i="18"/>
  <c r="I154" i="18"/>
  <c r="H159" i="18"/>
  <c r="H158" i="18" s="1"/>
  <c r="I163" i="18"/>
  <c r="I162" i="18" s="1"/>
  <c r="H167" i="18"/>
  <c r="I167" i="18"/>
  <c r="H169" i="18"/>
  <c r="I169" i="18"/>
  <c r="H183" i="18"/>
  <c r="I183" i="18"/>
  <c r="H197" i="18"/>
  <c r="I197" i="18"/>
  <c r="H198" i="18"/>
  <c r="I198" i="18"/>
  <c r="H199" i="18"/>
  <c r="I199" i="18"/>
  <c r="H203" i="18"/>
  <c r="I203" i="18"/>
  <c r="H204" i="18"/>
  <c r="I204" i="18"/>
  <c r="H205" i="18"/>
  <c r="I205" i="18"/>
  <c r="H208" i="18"/>
  <c r="I208" i="18"/>
  <c r="H211" i="18"/>
  <c r="I211" i="18"/>
  <c r="H214" i="18"/>
  <c r="I214" i="18"/>
  <c r="H220" i="18"/>
  <c r="I220" i="18"/>
  <c r="H222" i="18"/>
  <c r="I222" i="18"/>
  <c r="H226" i="18"/>
  <c r="I226" i="18"/>
  <c r="H229" i="18"/>
  <c r="I229" i="18"/>
  <c r="H234" i="18"/>
  <c r="I234" i="18"/>
  <c r="H235" i="18"/>
  <c r="I235" i="18"/>
  <c r="H239" i="18"/>
  <c r="I239" i="18"/>
  <c r="H245" i="18"/>
  <c r="I245" i="18"/>
  <c r="H246" i="18"/>
  <c r="I246" i="18"/>
  <c r="H247" i="18"/>
  <c r="I247" i="18"/>
  <c r="H252" i="18"/>
  <c r="I252" i="18"/>
  <c r="H255" i="18"/>
  <c r="I255" i="18"/>
  <c r="H258" i="18"/>
  <c r="I258" i="18"/>
  <c r="H264" i="18"/>
  <c r="I264" i="18"/>
  <c r="I268" i="18"/>
  <c r="H269" i="18"/>
  <c r="I269" i="18"/>
  <c r="H270" i="18"/>
  <c r="I270" i="18"/>
  <c r="H274" i="18"/>
  <c r="I274" i="18"/>
  <c r="H276" i="18"/>
  <c r="I276" i="18"/>
  <c r="H279" i="18"/>
  <c r="I279" i="18"/>
  <c r="H282" i="18"/>
  <c r="I282" i="18"/>
  <c r="H288" i="18"/>
  <c r="I288" i="18"/>
  <c r="H289" i="18"/>
  <c r="I289" i="18"/>
  <c r="H291" i="18"/>
  <c r="I291" i="18"/>
  <c r="H292" i="18"/>
  <c r="I292" i="18"/>
  <c r="H296" i="18"/>
  <c r="I296" i="18"/>
  <c r="H297" i="18"/>
  <c r="I297" i="18"/>
  <c r="H299" i="18"/>
  <c r="I299" i="18"/>
  <c r="H300" i="18"/>
  <c r="I300" i="18"/>
  <c r="H306" i="18"/>
  <c r="I306" i="18"/>
  <c r="H310" i="18"/>
  <c r="I310" i="18"/>
  <c r="H313" i="18"/>
  <c r="I313" i="18"/>
  <c r="H316" i="18"/>
  <c r="I316" i="18"/>
  <c r="H319" i="18"/>
  <c r="I319" i="18"/>
  <c r="H331" i="18"/>
  <c r="I331" i="18"/>
  <c r="H334" i="18"/>
  <c r="I334" i="18"/>
  <c r="H340" i="18"/>
  <c r="I340" i="18"/>
  <c r="H346" i="18"/>
  <c r="I346" i="18"/>
  <c r="H350" i="18"/>
  <c r="I350" i="18"/>
  <c r="H362" i="18"/>
  <c r="I362" i="18"/>
  <c r="H368" i="18"/>
  <c r="I368" i="18"/>
  <c r="H373" i="18"/>
  <c r="I373" i="18"/>
  <c r="H377" i="18"/>
  <c r="I377" i="18"/>
  <c r="H382" i="18"/>
  <c r="I382" i="18"/>
  <c r="H392" i="18"/>
  <c r="I392" i="18"/>
  <c r="H393" i="18"/>
  <c r="I393" i="18"/>
  <c r="H396" i="18"/>
  <c r="I396" i="18"/>
  <c r="H398" i="18"/>
  <c r="I398" i="18"/>
  <c r="H401" i="18"/>
  <c r="I401" i="18"/>
  <c r="H402" i="18"/>
  <c r="I402" i="18"/>
  <c r="H413" i="18"/>
  <c r="I413" i="18"/>
  <c r="H414" i="18"/>
  <c r="I414" i="18"/>
  <c r="H415" i="18"/>
  <c r="I415" i="18"/>
  <c r="H420" i="18"/>
  <c r="I420" i="18"/>
  <c r="H202" i="18" l="1"/>
  <c r="H70" i="18"/>
  <c r="H60" i="18"/>
  <c r="I37" i="18"/>
  <c r="H268" i="18"/>
  <c r="H39" i="18"/>
  <c r="H37" i="18" s="1"/>
  <c r="H371" i="18" l="1"/>
  <c r="H356" i="18"/>
  <c r="H163" i="18" l="1"/>
  <c r="H162" i="18" s="1"/>
  <c r="H20" i="18" l="1"/>
  <c r="H367" i="7" l="1"/>
  <c r="H365" i="7" s="1"/>
  <c r="M297" i="3"/>
  <c r="H388" i="7" l="1"/>
  <c r="H387" i="7" s="1"/>
  <c r="H386" i="7" s="1"/>
  <c r="M317" i="3"/>
  <c r="M316" i="3" s="1"/>
  <c r="M315" i="3" s="1"/>
  <c r="M314" i="3" s="1"/>
  <c r="M446" i="3" l="1"/>
  <c r="H94" i="18" l="1"/>
  <c r="M378" i="3" l="1"/>
  <c r="M377" i="3" s="1"/>
  <c r="M376" i="3" s="1"/>
  <c r="M375" i="3" s="1"/>
  <c r="H290" i="7"/>
  <c r="H289" i="7" s="1"/>
  <c r="I381" i="18" l="1"/>
  <c r="H381" i="18"/>
  <c r="I379" i="18"/>
  <c r="H379" i="18"/>
  <c r="I384" i="18"/>
  <c r="H384" i="18"/>
  <c r="I385" i="18"/>
  <c r="H385" i="18"/>
  <c r="I315" i="18" l="1"/>
  <c r="H315" i="18"/>
  <c r="I312" i="18"/>
  <c r="H312" i="18"/>
  <c r="I309" i="18"/>
  <c r="H309" i="18"/>
  <c r="C68" i="2" l="1"/>
  <c r="I356" i="18" l="1"/>
  <c r="H135" i="18" l="1"/>
  <c r="H134" i="18" s="1"/>
  <c r="C26" i="2"/>
  <c r="C25" i="2" s="1"/>
  <c r="H174" i="7" l="1"/>
  <c r="H173" i="7" s="1"/>
  <c r="M601" i="3" l="1"/>
  <c r="H273" i="18" l="1"/>
  <c r="H35" i="18" l="1"/>
  <c r="H96" i="18"/>
  <c r="H90" i="18"/>
  <c r="M651" i="3" l="1"/>
  <c r="M647" i="3" l="1"/>
  <c r="M646" i="3" s="1"/>
  <c r="M645" i="3" s="1"/>
  <c r="M644" i="3" s="1"/>
  <c r="H244" i="7" l="1"/>
  <c r="H243" i="7" s="1"/>
  <c r="H242" i="7"/>
  <c r="H241" i="7"/>
  <c r="H240" i="7"/>
  <c r="H239" i="7" l="1"/>
  <c r="H238" i="7" s="1"/>
  <c r="M310" i="3" l="1"/>
  <c r="M309" i="3" s="1"/>
  <c r="H364" i="7" l="1"/>
  <c r="H363" i="7" s="1"/>
  <c r="M629" i="3"/>
  <c r="I305" i="18" l="1"/>
  <c r="H305" i="18"/>
  <c r="I304" i="18"/>
  <c r="I302" i="18" s="1"/>
  <c r="H304" i="18"/>
  <c r="H302" i="18" s="1"/>
  <c r="N261" i="19"/>
  <c r="M261" i="19"/>
  <c r="H301" i="18" l="1"/>
  <c r="I301" i="18"/>
  <c r="D48" i="16"/>
  <c r="C48" i="16"/>
  <c r="D22" i="16" l="1"/>
  <c r="N434" i="19" l="1"/>
  <c r="I141" i="18"/>
  <c r="N37" i="19"/>
  <c r="M37" i="19"/>
  <c r="H483" i="7"/>
  <c r="H482" i="7"/>
  <c r="M35" i="3"/>
  <c r="H64" i="7"/>
  <c r="H63" i="7" s="1"/>
  <c r="H78" i="7"/>
  <c r="H77" i="7"/>
  <c r="H76" i="7"/>
  <c r="H383" i="18" l="1"/>
  <c r="I383" i="18"/>
  <c r="H481" i="7"/>
  <c r="I60" i="18"/>
  <c r="H75" i="7"/>
  <c r="H36" i="18"/>
  <c r="I36" i="18"/>
  <c r="N325" i="19"/>
  <c r="M325" i="19"/>
  <c r="M465" i="3"/>
  <c r="M457" i="3" l="1"/>
  <c r="N557" i="19"/>
  <c r="M557" i="19"/>
  <c r="N563" i="19"/>
  <c r="M563" i="19"/>
  <c r="N542" i="19"/>
  <c r="M542" i="19"/>
  <c r="N547" i="19"/>
  <c r="M547" i="19"/>
  <c r="H400" i="7"/>
  <c r="H401" i="7"/>
  <c r="M753" i="3"/>
  <c r="M759" i="3"/>
  <c r="M738" i="3"/>
  <c r="M743" i="3"/>
  <c r="D56" i="16"/>
  <c r="C56" i="16"/>
  <c r="H399" i="7" l="1"/>
  <c r="H354" i="7"/>
  <c r="H353" i="7" s="1"/>
  <c r="H315" i="7"/>
  <c r="H314" i="7" s="1"/>
  <c r="H488" i="7"/>
  <c r="H487" i="7" s="1"/>
  <c r="F35" i="6" l="1"/>
  <c r="E35" i="6"/>
  <c r="M364" i="3"/>
  <c r="M363" i="3" s="1"/>
  <c r="M362" i="3" s="1"/>
  <c r="M361" i="3" s="1"/>
  <c r="M360" i="3" s="1"/>
  <c r="M246" i="3"/>
  <c r="M245" i="3" s="1"/>
  <c r="M244" i="3" s="1"/>
  <c r="M243" i="3" s="1"/>
  <c r="M242" i="3" s="1"/>
  <c r="M241" i="3" s="1"/>
  <c r="M173" i="3"/>
  <c r="M172" i="3" s="1"/>
  <c r="M171" i="3" l="1"/>
  <c r="M170" i="3" s="1"/>
  <c r="M169" i="3" s="1"/>
  <c r="I375" i="18"/>
  <c r="H375" i="18"/>
  <c r="M796" i="3" l="1"/>
  <c r="D35" i="6" s="1"/>
  <c r="M168" i="3"/>
  <c r="I371" i="18"/>
  <c r="I19" i="18" l="1"/>
  <c r="N238" i="19"/>
  <c r="M238" i="19"/>
  <c r="H19" i="18"/>
  <c r="M289" i="3"/>
  <c r="M322" i="3"/>
  <c r="M756" i="3" l="1"/>
  <c r="M752" i="3" s="1"/>
  <c r="D40" i="12" l="1"/>
  <c r="C40" i="12"/>
  <c r="D36" i="12"/>
  <c r="C36" i="12"/>
  <c r="D32" i="12"/>
  <c r="C32" i="12"/>
  <c r="D21" i="12"/>
  <c r="D17" i="12"/>
  <c r="D13" i="12"/>
  <c r="G21" i="11" l="1"/>
  <c r="H21" i="11"/>
  <c r="F21" i="11"/>
  <c r="H49" i="7" l="1"/>
  <c r="N246" i="19" l="1"/>
  <c r="N245" i="19" s="1"/>
  <c r="M246" i="19"/>
  <c r="M245" i="19" s="1"/>
  <c r="D54" i="16" l="1"/>
  <c r="C54" i="16"/>
  <c r="C66" i="2"/>
  <c r="M487" i="3"/>
  <c r="I77" i="18" l="1"/>
  <c r="H77" i="18"/>
  <c r="I35" i="18"/>
  <c r="H18" i="18"/>
  <c r="H48" i="7"/>
  <c r="M440" i="3"/>
  <c r="N285" i="19" l="1"/>
  <c r="I18" i="18"/>
  <c r="I17" i="18" s="1"/>
  <c r="M285" i="19"/>
  <c r="I34" i="18"/>
  <c r="H17" i="18"/>
  <c r="I161" i="18"/>
  <c r="H161" i="18"/>
  <c r="H157" i="18" s="1"/>
  <c r="I75" i="18"/>
  <c r="H34" i="18"/>
  <c r="N300" i="19"/>
  <c r="M300" i="19"/>
  <c r="H75" i="18" l="1"/>
  <c r="M411" i="3"/>
  <c r="N471" i="19" l="1"/>
  <c r="N470" i="19" s="1"/>
  <c r="N469" i="19" s="1"/>
  <c r="M471" i="19"/>
  <c r="M470" i="19" s="1"/>
  <c r="M469" i="19" s="1"/>
  <c r="I168" i="18"/>
  <c r="H168" i="18"/>
  <c r="H166" i="18" s="1"/>
  <c r="I238" i="18" l="1"/>
  <c r="I237" i="18" s="1"/>
  <c r="I236" i="18" s="1"/>
  <c r="H238" i="18"/>
  <c r="H237" i="18" s="1"/>
  <c r="H236" i="18" s="1"/>
  <c r="H458" i="7" l="1"/>
  <c r="N107" i="19"/>
  <c r="N106" i="19" s="1"/>
  <c r="N105" i="19" s="1"/>
  <c r="M107" i="19"/>
  <c r="M106" i="19" s="1"/>
  <c r="M105" i="19" s="1"/>
  <c r="I233" i="18"/>
  <c r="H233" i="18"/>
  <c r="I372" i="18" l="1"/>
  <c r="H372" i="18"/>
  <c r="H342" i="7" l="1"/>
  <c r="I273" i="18" l="1"/>
  <c r="I272" i="18"/>
  <c r="H272" i="18"/>
  <c r="I124" i="18" l="1"/>
  <c r="I123" i="18" s="1"/>
  <c r="H124" i="18"/>
  <c r="H123" i="18" s="1"/>
  <c r="N431" i="19"/>
  <c r="N430" i="19" s="1"/>
  <c r="N414" i="19"/>
  <c r="N413" i="19" s="1"/>
  <c r="M414" i="19"/>
  <c r="M413" i="19" s="1"/>
  <c r="N412" i="19" l="1"/>
  <c r="N411" i="19" s="1"/>
  <c r="N410" i="19" s="1"/>
  <c r="M412" i="19"/>
  <c r="M411" i="19" s="1"/>
  <c r="M410" i="19" s="1"/>
  <c r="D12" i="9"/>
  <c r="C12" i="9"/>
  <c r="C11" i="9" l="1"/>
  <c r="D11" i="9" l="1"/>
  <c r="C42" i="2" l="1"/>
  <c r="C41" i="2" l="1"/>
  <c r="D56" i="6"/>
  <c r="M612" i="3" l="1"/>
  <c r="M595" i="19" l="1"/>
  <c r="H188" i="7" l="1"/>
  <c r="H22" i="7" l="1"/>
  <c r="H20" i="7" s="1"/>
  <c r="M252" i="19"/>
  <c r="M251" i="19" s="1"/>
  <c r="M250" i="19" l="1"/>
  <c r="M249" i="19" s="1"/>
  <c r="M248" i="19" s="1"/>
  <c r="N244" i="19" l="1"/>
  <c r="N243" i="19" s="1"/>
  <c r="N242" i="19" s="1"/>
  <c r="N241" i="19" s="1"/>
  <c r="M244" i="19"/>
  <c r="M243" i="19" s="1"/>
  <c r="M242" i="19" s="1"/>
  <c r="M241" i="19" s="1"/>
  <c r="M735" i="3" l="1"/>
  <c r="N350" i="19" l="1"/>
  <c r="M350" i="19"/>
  <c r="M492" i="3" l="1"/>
  <c r="M398" i="3" l="1"/>
  <c r="M293" i="3"/>
  <c r="M267" i="3"/>
  <c r="M69" i="3"/>
  <c r="M45" i="3"/>
  <c r="M18" i="3"/>
  <c r="M17" i="3" s="1"/>
  <c r="M50" i="3" l="1"/>
  <c r="M49" i="3" s="1"/>
  <c r="M61" i="3" l="1"/>
  <c r="M117" i="3" l="1"/>
  <c r="I83" i="18" l="1"/>
  <c r="H83" i="18"/>
  <c r="H101" i="7" l="1"/>
  <c r="H100" i="7" s="1"/>
  <c r="H134" i="7"/>
  <c r="M123" i="3" l="1"/>
  <c r="M122" i="3" s="1"/>
  <c r="M121" i="3" s="1"/>
  <c r="M392" i="3" l="1"/>
  <c r="H69" i="7" l="1"/>
  <c r="H70" i="7"/>
  <c r="H68" i="7" l="1"/>
  <c r="N468" i="19"/>
  <c r="N615" i="19" s="1"/>
  <c r="H57" i="18"/>
  <c r="I57" i="18"/>
  <c r="M468" i="19" l="1"/>
  <c r="M615" i="19" s="1"/>
  <c r="E48" i="6" s="1"/>
  <c r="F48" i="6"/>
  <c r="M460" i="3"/>
  <c r="I107" i="18" l="1"/>
  <c r="I106" i="18" s="1"/>
  <c r="H107" i="18"/>
  <c r="H106" i="18" s="1"/>
  <c r="I110" i="18"/>
  <c r="I109" i="18" s="1"/>
  <c r="H110" i="18"/>
  <c r="H109" i="18" s="1"/>
  <c r="I113" i="18"/>
  <c r="I112" i="18" s="1"/>
  <c r="H113" i="18"/>
  <c r="H112" i="18" s="1"/>
  <c r="N319" i="19"/>
  <c r="M319" i="19"/>
  <c r="N270" i="19"/>
  <c r="N269" i="19" s="1"/>
  <c r="M270" i="19"/>
  <c r="M269" i="19" s="1"/>
  <c r="N273" i="19"/>
  <c r="N272" i="19" s="1"/>
  <c r="M273" i="19"/>
  <c r="M272" i="19" s="1"/>
  <c r="N276" i="19"/>
  <c r="N275" i="19" s="1"/>
  <c r="M276" i="19"/>
  <c r="M275" i="19" s="1"/>
  <c r="H54" i="18" l="1"/>
  <c r="I54" i="18"/>
  <c r="N268" i="19"/>
  <c r="N267" i="19" s="1"/>
  <c r="N266" i="19" s="1"/>
  <c r="N265" i="19" s="1"/>
  <c r="M268" i="19"/>
  <c r="M267" i="19" s="1"/>
  <c r="M266" i="19" s="1"/>
  <c r="M265" i="19" s="1"/>
  <c r="H140" i="7" l="1"/>
  <c r="H139" i="7" s="1"/>
  <c r="H138" i="7" s="1"/>
  <c r="H143" i="7"/>
  <c r="H142" i="7" s="1"/>
  <c r="H141" i="7" s="1"/>
  <c r="H146" i="7"/>
  <c r="H145" i="7" s="1"/>
  <c r="H144" i="7" s="1"/>
  <c r="M391" i="3"/>
  <c r="M395" i="3"/>
  <c r="M394" i="3" s="1"/>
  <c r="M397" i="3"/>
  <c r="H120" i="7"/>
  <c r="H119" i="7" s="1"/>
  <c r="H136" i="7"/>
  <c r="M387" i="3" l="1"/>
  <c r="M386" i="3" s="1"/>
  <c r="M385" i="3" s="1"/>
  <c r="M384" i="3" s="1"/>
  <c r="H133" i="7"/>
  <c r="I182" i="18" l="1"/>
  <c r="I181" i="18" s="1"/>
  <c r="H182" i="18"/>
  <c r="H181" i="18" s="1"/>
  <c r="I179" i="18"/>
  <c r="H179" i="18"/>
  <c r="N455" i="19"/>
  <c r="N454" i="19" s="1"/>
  <c r="N453" i="19" s="1"/>
  <c r="N452" i="19" s="1"/>
  <c r="N451" i="19" s="1"/>
  <c r="N450" i="19" s="1"/>
  <c r="M455" i="19"/>
  <c r="M454" i="19" s="1"/>
  <c r="M453" i="19" s="1"/>
  <c r="M452" i="19" s="1"/>
  <c r="M451" i="19" s="1"/>
  <c r="M450" i="19" s="1"/>
  <c r="H237" i="7"/>
  <c r="H236" i="7" s="1"/>
  <c r="H235" i="7" s="1"/>
  <c r="H245" i="7" l="1"/>
  <c r="N408" i="19"/>
  <c r="I121" i="18" s="1"/>
  <c r="M408" i="19"/>
  <c r="H121" i="18" s="1"/>
  <c r="I153" i="18"/>
  <c r="I152" i="18" s="1"/>
  <c r="H153" i="18"/>
  <c r="H152" i="18" s="1"/>
  <c r="N399" i="19"/>
  <c r="N398" i="19" s="1"/>
  <c r="N397" i="19" s="1"/>
  <c r="M399" i="19"/>
  <c r="M398" i="19" s="1"/>
  <c r="M397" i="19" s="1"/>
  <c r="I361" i="18"/>
  <c r="I360" i="18" s="1"/>
  <c r="I359" i="18" s="1"/>
  <c r="I358" i="18" s="1"/>
  <c r="H361" i="18"/>
  <c r="H360" i="18" s="1"/>
  <c r="H359" i="18" s="1"/>
  <c r="H358" i="18" s="1"/>
  <c r="N158" i="19"/>
  <c r="N157" i="19" s="1"/>
  <c r="N156" i="19" s="1"/>
  <c r="N155" i="19" s="1"/>
  <c r="N154" i="19" s="1"/>
  <c r="M158" i="19"/>
  <c r="M157" i="19" s="1"/>
  <c r="M156" i="19" s="1"/>
  <c r="M155" i="19" s="1"/>
  <c r="M154" i="19" s="1"/>
  <c r="I355" i="18"/>
  <c r="I354" i="18" s="1"/>
  <c r="H355" i="18"/>
  <c r="H354" i="18" s="1"/>
  <c r="N138" i="19"/>
  <c r="N137" i="19" s="1"/>
  <c r="M138" i="19"/>
  <c r="M137" i="19" s="1"/>
  <c r="I345" i="18"/>
  <c r="I344" i="18" s="1"/>
  <c r="I343" i="18" s="1"/>
  <c r="H345" i="18"/>
  <c r="H344" i="18" s="1"/>
  <c r="H343" i="18" s="1"/>
  <c r="N129" i="19"/>
  <c r="N128" i="19" s="1"/>
  <c r="N127" i="19" s="1"/>
  <c r="M129" i="19"/>
  <c r="M128" i="19" s="1"/>
  <c r="M127" i="19" s="1"/>
  <c r="I228" i="18"/>
  <c r="I227" i="18" s="1"/>
  <c r="H228" i="18"/>
  <c r="H227" i="18" s="1"/>
  <c r="I225" i="18"/>
  <c r="I224" i="18" s="1"/>
  <c r="H225" i="18"/>
  <c r="H224" i="18" s="1"/>
  <c r="N97" i="19"/>
  <c r="N96" i="19" s="1"/>
  <c r="M97" i="19"/>
  <c r="M96" i="19" s="1"/>
  <c r="N94" i="19"/>
  <c r="N93" i="19" s="1"/>
  <c r="M94" i="19"/>
  <c r="M93" i="19" s="1"/>
  <c r="I395" i="18"/>
  <c r="H395" i="18"/>
  <c r="N74" i="19"/>
  <c r="I397" i="18" s="1"/>
  <c r="M74" i="19"/>
  <c r="H397" i="18" s="1"/>
  <c r="M72" i="19"/>
  <c r="N72" i="19"/>
  <c r="N68" i="19"/>
  <c r="N67" i="19" s="1"/>
  <c r="M68" i="19"/>
  <c r="M67" i="19" s="1"/>
  <c r="N60" i="19"/>
  <c r="N59" i="19" s="1"/>
  <c r="N58" i="19" s="1"/>
  <c r="N57" i="19" s="1"/>
  <c r="M60" i="19"/>
  <c r="M59" i="19" s="1"/>
  <c r="M58" i="19" s="1"/>
  <c r="M57" i="19" s="1"/>
  <c r="N34" i="19"/>
  <c r="M34" i="19"/>
  <c r="M396" i="19" l="1"/>
  <c r="M395" i="19" s="1"/>
  <c r="M394" i="19" s="1"/>
  <c r="N396" i="19"/>
  <c r="N395" i="19" s="1"/>
  <c r="N394" i="19" s="1"/>
  <c r="N92" i="19"/>
  <c r="M92" i="19"/>
  <c r="N71" i="19"/>
  <c r="N63" i="19" s="1"/>
  <c r="M71" i="19"/>
  <c r="M63" i="19" s="1"/>
  <c r="M62" i="19" s="1"/>
  <c r="M51" i="19" s="1"/>
  <c r="I394" i="18"/>
  <c r="H394" i="18"/>
  <c r="H391" i="18"/>
  <c r="H388" i="18" s="1"/>
  <c r="I391" i="18"/>
  <c r="I388" i="18" s="1"/>
  <c r="M640" i="3"/>
  <c r="M639" i="3" s="1"/>
  <c r="M638" i="3" s="1"/>
  <c r="M637" i="3" s="1"/>
  <c r="M636" i="3" s="1"/>
  <c r="M635" i="3" s="1"/>
  <c r="N62" i="19" l="1"/>
  <c r="N51" i="19" s="1"/>
  <c r="H491" i="7"/>
  <c r="I275" i="18" l="1"/>
  <c r="H275" i="18"/>
  <c r="I278" i="18"/>
  <c r="I277" i="18" s="1"/>
  <c r="H278" i="18"/>
  <c r="H277" i="18" s="1"/>
  <c r="I281" i="18"/>
  <c r="I280" i="18" s="1"/>
  <c r="H281" i="18"/>
  <c r="H280" i="18" s="1"/>
  <c r="N229" i="19"/>
  <c r="N228" i="19" s="1"/>
  <c r="M229" i="19"/>
  <c r="M228" i="19" s="1"/>
  <c r="N226" i="19"/>
  <c r="N225" i="19" s="1"/>
  <c r="M226" i="19"/>
  <c r="M225" i="19" s="1"/>
  <c r="N223" i="19"/>
  <c r="M223" i="19"/>
  <c r="M307" i="3"/>
  <c r="H154" i="7" l="1"/>
  <c r="H153" i="7" s="1"/>
  <c r="M571" i="3"/>
  <c r="H183" i="7" l="1"/>
  <c r="H182" i="7" s="1"/>
  <c r="H206" i="7"/>
  <c r="H205" i="7" s="1"/>
  <c r="H204" i="7" s="1"/>
  <c r="I207" i="18"/>
  <c r="I206" i="18" s="1"/>
  <c r="H207" i="18"/>
  <c r="H206" i="18" s="1"/>
  <c r="I210" i="18"/>
  <c r="I209" i="18" s="1"/>
  <c r="H210" i="18"/>
  <c r="H209" i="18" s="1"/>
  <c r="I213" i="18"/>
  <c r="I212" i="18" s="1"/>
  <c r="H213" i="18"/>
  <c r="H212" i="18" s="1"/>
  <c r="H268" i="7"/>
  <c r="H267" i="7" s="1"/>
  <c r="H266" i="7" s="1"/>
  <c r="H271" i="7"/>
  <c r="H270" i="7" s="1"/>
  <c r="H269" i="7" s="1"/>
  <c r="H274" i="7"/>
  <c r="H273" i="7" s="1"/>
  <c r="H272" i="7" s="1"/>
  <c r="N520" i="19" l="1"/>
  <c r="N519" i="19" s="1"/>
  <c r="M520" i="19"/>
  <c r="M519" i="19" s="1"/>
  <c r="N513" i="19"/>
  <c r="N512" i="19" s="1"/>
  <c r="M513" i="19"/>
  <c r="M512" i="19" s="1"/>
  <c r="N510" i="19"/>
  <c r="N509" i="19" s="1"/>
  <c r="M510" i="19"/>
  <c r="M509" i="19" s="1"/>
  <c r="N507" i="19"/>
  <c r="N506" i="19" s="1"/>
  <c r="M507" i="19"/>
  <c r="M506" i="19" s="1"/>
  <c r="M707" i="3"/>
  <c r="M706" i="3" s="1"/>
  <c r="M704" i="3"/>
  <c r="M703" i="3" s="1"/>
  <c r="M701" i="3"/>
  <c r="M700" i="3" s="1"/>
  <c r="M696" i="3" l="1"/>
  <c r="M695" i="3" s="1"/>
  <c r="N505" i="19"/>
  <c r="N504" i="19" s="1"/>
  <c r="N503" i="19" s="1"/>
  <c r="N502" i="19" s="1"/>
  <c r="M505" i="19"/>
  <c r="M504" i="19" s="1"/>
  <c r="M503" i="19" s="1"/>
  <c r="M502" i="19" s="1"/>
  <c r="N200" i="19"/>
  <c r="N199" i="19" s="1"/>
  <c r="M200" i="19"/>
  <c r="M199" i="19" s="1"/>
  <c r="M694" i="3" l="1"/>
  <c r="M693" i="3" s="1"/>
  <c r="M562" i="3"/>
  <c r="M561" i="3" s="1"/>
  <c r="M557" i="3" s="1"/>
  <c r="M556" i="3" s="1"/>
  <c r="M555" i="3" s="1"/>
  <c r="M554" i="3" l="1"/>
  <c r="I257" i="18" l="1"/>
  <c r="I256" i="18" s="1"/>
  <c r="H257" i="18"/>
  <c r="H256" i="18" s="1"/>
  <c r="I254" i="18"/>
  <c r="I253" i="18" s="1"/>
  <c r="H254" i="18"/>
  <c r="H253" i="18" s="1"/>
  <c r="N178" i="19"/>
  <c r="N177" i="19" s="1"/>
  <c r="M178" i="19"/>
  <c r="M177" i="19" s="1"/>
  <c r="H331" i="7"/>
  <c r="H330" i="7" s="1"/>
  <c r="H329" i="7" s="1"/>
  <c r="M239" i="3"/>
  <c r="M238" i="3" s="1"/>
  <c r="N175" i="19" l="1"/>
  <c r="N174" i="19" s="1"/>
  <c r="N173" i="19" s="1"/>
  <c r="N172" i="19" s="1"/>
  <c r="N171" i="19" s="1"/>
  <c r="M175" i="19"/>
  <c r="M174" i="19" s="1"/>
  <c r="M173" i="19" s="1"/>
  <c r="M172" i="19" l="1"/>
  <c r="M171" i="19" s="1"/>
  <c r="M583" i="3" l="1"/>
  <c r="M582" i="3" s="1"/>
  <c r="M581" i="3" l="1"/>
  <c r="M580" i="3" s="1"/>
  <c r="M579" i="3" s="1"/>
  <c r="M560" i="19"/>
  <c r="D17" i="16" l="1"/>
  <c r="D16" i="16" s="1"/>
  <c r="C17" i="16"/>
  <c r="M16" i="3" l="1"/>
  <c r="M15" i="3" s="1"/>
  <c r="M14" i="3" s="1"/>
  <c r="M28" i="3"/>
  <c r="M30" i="3"/>
  <c r="M44" i="3"/>
  <c r="M43" i="3" s="1"/>
  <c r="M42" i="3" s="1"/>
  <c r="M41" i="3" s="1"/>
  <c r="M772" i="3" s="1"/>
  <c r="M48" i="3"/>
  <c r="M47" i="3" s="1"/>
  <c r="M60" i="3"/>
  <c r="M59" i="3" s="1"/>
  <c r="M58" i="3" s="1"/>
  <c r="M68" i="3"/>
  <c r="M73" i="3"/>
  <c r="M75" i="3"/>
  <c r="M96" i="3"/>
  <c r="M98" i="3"/>
  <c r="M100" i="3"/>
  <c r="M102" i="3"/>
  <c r="M108" i="3"/>
  <c r="M110" i="3"/>
  <c r="M113" i="3"/>
  <c r="M112" i="3" s="1"/>
  <c r="M130" i="3"/>
  <c r="M129" i="3" s="1"/>
  <c r="M133" i="3"/>
  <c r="M132" i="3" s="1"/>
  <c r="M139" i="3"/>
  <c r="M138" i="3" s="1"/>
  <c r="M145" i="3"/>
  <c r="M144" i="3" s="1"/>
  <c r="M143" i="3" s="1"/>
  <c r="M149" i="3"/>
  <c r="M148" i="3" s="1"/>
  <c r="M147" i="3" s="1"/>
  <c r="M154" i="3"/>
  <c r="M153" i="3" s="1"/>
  <c r="M183" i="3"/>
  <c r="M182" i="3" s="1"/>
  <c r="M181" i="3" s="1"/>
  <c r="M180" i="3" s="1"/>
  <c r="M179" i="3" s="1"/>
  <c r="M195" i="3"/>
  <c r="M194" i="3" s="1"/>
  <c r="M193" i="3" s="1"/>
  <c r="M192" i="3" s="1"/>
  <c r="M191" i="3" s="1"/>
  <c r="M220" i="3"/>
  <c r="M236" i="3"/>
  <c r="M235" i="3" s="1"/>
  <c r="M231" i="3" s="1"/>
  <c r="M253" i="3"/>
  <c r="M271" i="3"/>
  <c r="M266" i="3" s="1"/>
  <c r="M286" i="3"/>
  <c r="M285" i="3" s="1"/>
  <c r="M301" i="3"/>
  <c r="M292" i="3" s="1"/>
  <c r="M304" i="3"/>
  <c r="M303" i="3" s="1"/>
  <c r="M321" i="3"/>
  <c r="M320" i="3" s="1"/>
  <c r="M319" i="3" s="1"/>
  <c r="M330" i="3"/>
  <c r="M329" i="3" s="1"/>
  <c r="M328" i="3" s="1"/>
  <c r="M327" i="3" s="1"/>
  <c r="M341" i="3"/>
  <c r="M340" i="3" s="1"/>
  <c r="M405" i="3"/>
  <c r="M407" i="3"/>
  <c r="M409" i="3"/>
  <c r="M413" i="3"/>
  <c r="M415" i="3"/>
  <c r="M420" i="3"/>
  <c r="M419" i="3" s="1"/>
  <c r="M442" i="3"/>
  <c r="M480" i="3"/>
  <c r="M569" i="3"/>
  <c r="M573" i="3"/>
  <c r="M593" i="3"/>
  <c r="M597" i="3"/>
  <c r="M599" i="3"/>
  <c r="M656" i="3"/>
  <c r="M655" i="3" s="1"/>
  <c r="M687" i="3"/>
  <c r="M686" i="3" s="1"/>
  <c r="M685" i="3" s="1"/>
  <c r="M684" i="3" s="1"/>
  <c r="M683" i="3" s="1"/>
  <c r="M814" i="3" s="1"/>
  <c r="M724" i="3"/>
  <c r="M723" i="3" s="1"/>
  <c r="M722" i="3" s="1"/>
  <c r="M721" i="3" s="1"/>
  <c r="M720" i="3" s="1"/>
  <c r="M746" i="3"/>
  <c r="M20" i="19"/>
  <c r="M19" i="19" s="1"/>
  <c r="M18" i="19" s="1"/>
  <c r="M17" i="19" s="1"/>
  <c r="M16" i="19" s="1"/>
  <c r="M26" i="19"/>
  <c r="M30" i="19"/>
  <c r="M32" i="19"/>
  <c r="M44" i="19"/>
  <c r="M43" i="19" s="1"/>
  <c r="M42" i="19" s="1"/>
  <c r="M41" i="19" s="1"/>
  <c r="M40" i="19" s="1"/>
  <c r="M577" i="19" s="1"/>
  <c r="E17" i="6" s="1"/>
  <c r="M86" i="19"/>
  <c r="M88" i="19"/>
  <c r="M114" i="19"/>
  <c r="M113" i="19" s="1"/>
  <c r="M117" i="19"/>
  <c r="M116" i="19" s="1"/>
  <c r="M123" i="19"/>
  <c r="M122" i="19" s="1"/>
  <c r="M121" i="19" s="1"/>
  <c r="M120" i="19" s="1"/>
  <c r="M119" i="19" s="1"/>
  <c r="M588" i="19" s="1"/>
  <c r="E26" i="6" s="1"/>
  <c r="M133" i="19"/>
  <c r="M132" i="19" s="1"/>
  <c r="M131" i="19" s="1"/>
  <c r="M126" i="19" s="1"/>
  <c r="M152" i="19"/>
  <c r="M151" i="19" s="1"/>
  <c r="M150" i="19" s="1"/>
  <c r="M149" i="19" s="1"/>
  <c r="M148" i="19" s="1"/>
  <c r="M147" i="19" s="1"/>
  <c r="M167" i="19"/>
  <c r="M166" i="19" s="1"/>
  <c r="M165" i="19" s="1"/>
  <c r="M164" i="19" s="1"/>
  <c r="M163" i="19" s="1"/>
  <c r="M192" i="19"/>
  <c r="M191" i="19" s="1"/>
  <c r="M190" i="19" s="1"/>
  <c r="M189" i="19" s="1"/>
  <c r="M188" i="19" s="1"/>
  <c r="M211" i="19"/>
  <c r="M210" i="19" s="1"/>
  <c r="M215" i="19"/>
  <c r="M219" i="19"/>
  <c r="M237" i="19"/>
  <c r="M236" i="19" s="1"/>
  <c r="M235" i="19" s="1"/>
  <c r="M259" i="19"/>
  <c r="M258" i="19" s="1"/>
  <c r="M283" i="19"/>
  <c r="M287" i="19"/>
  <c r="M289" i="19"/>
  <c r="M295" i="19"/>
  <c r="M306" i="19"/>
  <c r="M310" i="19"/>
  <c r="M314" i="19"/>
  <c r="M334" i="19"/>
  <c r="M333" i="19" s="1"/>
  <c r="M352" i="19"/>
  <c r="M340" i="19" s="1"/>
  <c r="M358" i="19"/>
  <c r="M357" i="19" s="1"/>
  <c r="M378" i="19"/>
  <c r="M377" i="19" s="1"/>
  <c r="M376" i="19" s="1"/>
  <c r="M375" i="19" s="1"/>
  <c r="M374" i="19" s="1"/>
  <c r="M373" i="19" s="1"/>
  <c r="M406" i="19"/>
  <c r="M421" i="19"/>
  <c r="M420" i="19" s="1"/>
  <c r="M427" i="19"/>
  <c r="M434" i="19"/>
  <c r="M440" i="19"/>
  <c r="M444" i="19"/>
  <c r="M496" i="19"/>
  <c r="M495" i="19" s="1"/>
  <c r="M494" i="19" s="1"/>
  <c r="M493" i="19" s="1"/>
  <c r="M492" i="19" s="1"/>
  <c r="M617" i="19" s="1"/>
  <c r="M518" i="19"/>
  <c r="M517" i="19" s="1"/>
  <c r="M516" i="19" s="1"/>
  <c r="M601" i="19" s="1"/>
  <c r="M528" i="19"/>
  <c r="M527" i="19" s="1"/>
  <c r="M526" i="19" s="1"/>
  <c r="M525" i="19" s="1"/>
  <c r="M524" i="19" s="1"/>
  <c r="M539" i="19"/>
  <c r="M550" i="19"/>
  <c r="M566" i="19"/>
  <c r="M626" i="19" s="1"/>
  <c r="E57" i="6" s="1"/>
  <c r="E56" i="6" s="1"/>
  <c r="M178" i="3" l="1"/>
  <c r="M538" i="19"/>
  <c r="M537" i="19" s="1"/>
  <c r="M294" i="19"/>
  <c r="M293" i="19" s="1"/>
  <c r="M734" i="3"/>
  <c r="M733" i="3" s="1"/>
  <c r="M568" i="3"/>
  <c r="M592" i="3"/>
  <c r="M404" i="3"/>
  <c r="M252" i="3"/>
  <c r="M251" i="3" s="1"/>
  <c r="M250" i="3" s="1"/>
  <c r="M249" i="3" s="1"/>
  <c r="M248" i="3" s="1"/>
  <c r="M326" i="3"/>
  <c r="M325" i="3" s="1"/>
  <c r="M369" i="3"/>
  <c r="M368" i="3" s="1"/>
  <c r="M367" i="3" s="1"/>
  <c r="M366" i="3" s="1"/>
  <c r="M354" i="3"/>
  <c r="M353" i="3" s="1"/>
  <c r="M352" i="3" s="1"/>
  <c r="M343" i="3" s="1"/>
  <c r="M162" i="19"/>
  <c r="M25" i="19"/>
  <c r="M458" i="19"/>
  <c r="M614" i="19" s="1"/>
  <c r="M152" i="3"/>
  <c r="M151" i="3" s="1"/>
  <c r="M137" i="3"/>
  <c r="M136" i="3" s="1"/>
  <c r="M135" i="3" s="1"/>
  <c r="M783" i="3" s="1"/>
  <c r="M770" i="3"/>
  <c r="M85" i="19"/>
  <c r="M84" i="19" s="1"/>
  <c r="M83" i="19" s="1"/>
  <c r="M82" i="19" s="1"/>
  <c r="M282" i="19"/>
  <c r="M281" i="19" s="1"/>
  <c r="E36" i="6"/>
  <c r="M418" i="3"/>
  <c r="M417" i="3" s="1"/>
  <c r="M156" i="3"/>
  <c r="E50" i="6"/>
  <c r="M431" i="19"/>
  <c r="M430" i="19" s="1"/>
  <c r="M405" i="19"/>
  <c r="M404" i="19" s="1"/>
  <c r="M403" i="19" s="1"/>
  <c r="M136" i="19"/>
  <c r="M135" i="19" s="1"/>
  <c r="M125" i="19" s="1"/>
  <c r="M214" i="19"/>
  <c r="M213" i="19" s="1"/>
  <c r="M805" i="3"/>
  <c r="M774" i="3"/>
  <c r="M230" i="3"/>
  <c r="M229" i="3" s="1"/>
  <c r="M419" i="19"/>
  <c r="M95" i="3"/>
  <c r="M94" i="3" s="1"/>
  <c r="M93" i="3" s="1"/>
  <c r="M92" i="3" s="1"/>
  <c r="M556" i="19"/>
  <c r="M555" i="19" s="1"/>
  <c r="M554" i="19" s="1"/>
  <c r="M553" i="19" s="1"/>
  <c r="M611" i="19" s="1"/>
  <c r="M257" i="19"/>
  <c r="M256" i="19" s="1"/>
  <c r="M255" i="19" s="1"/>
  <c r="M254" i="19" s="1"/>
  <c r="M209" i="19"/>
  <c r="M198" i="19"/>
  <c r="M197" i="19" s="1"/>
  <c r="M196" i="19" s="1"/>
  <c r="M195" i="19" s="1"/>
  <c r="M306" i="3"/>
  <c r="M751" i="3"/>
  <c r="M750" i="3" s="1"/>
  <c r="M749" i="3" s="1"/>
  <c r="M808" i="3" s="1"/>
  <c r="M538" i="3"/>
  <c r="M537" i="3" s="1"/>
  <c r="M536" i="3" s="1"/>
  <c r="M535" i="3" s="1"/>
  <c r="M534" i="3" s="1"/>
  <c r="M533" i="3" s="1"/>
  <c r="M265" i="3"/>
  <c r="M264" i="3" s="1"/>
  <c r="M263" i="3" s="1"/>
  <c r="M262" i="3" s="1"/>
  <c r="M128" i="3"/>
  <c r="M127" i="3" s="1"/>
  <c r="M126" i="3" s="1"/>
  <c r="M782" i="3" s="1"/>
  <c r="D25" i="6" s="1"/>
  <c r="M107" i="3"/>
  <c r="M106" i="3" s="1"/>
  <c r="M718" i="3"/>
  <c r="M714" i="3"/>
  <c r="M288" i="3"/>
  <c r="M284" i="3" s="1"/>
  <c r="M625" i="3"/>
  <c r="M624" i="3" s="1"/>
  <c r="M621" i="3"/>
  <c r="M620" i="3" s="1"/>
  <c r="M619" i="3" s="1"/>
  <c r="M615" i="3"/>
  <c r="M515" i="3"/>
  <c r="M511" i="3"/>
  <c r="M507" i="3"/>
  <c r="M506" i="3" s="1"/>
  <c r="M505" i="3" s="1"/>
  <c r="M474" i="3"/>
  <c r="M473" i="3" s="1"/>
  <c r="M450" i="3"/>
  <c r="M434" i="3"/>
  <c r="M426" i="3"/>
  <c r="M339" i="3"/>
  <c r="M219" i="3"/>
  <c r="M218" i="3" s="1"/>
  <c r="M142" i="3"/>
  <c r="M116" i="3"/>
  <c r="M115" i="3" s="1"/>
  <c r="M72" i="3"/>
  <c r="M64" i="3" s="1"/>
  <c r="M32" i="3"/>
  <c r="M23" i="3" s="1"/>
  <c r="M22" i="3" s="1"/>
  <c r="M187" i="19"/>
  <c r="M623" i="19"/>
  <c r="M609" i="19"/>
  <c r="E42" i="6" s="1"/>
  <c r="M515" i="19"/>
  <c r="M501" i="19" s="1"/>
  <c r="M575" i="19"/>
  <c r="E15" i="6" s="1"/>
  <c r="M439" i="19"/>
  <c r="M438" i="19" s="1"/>
  <c r="M437" i="19" s="1"/>
  <c r="M436" i="19" s="1"/>
  <c r="M606" i="19" s="1"/>
  <c r="E40" i="6" s="1"/>
  <c r="M49" i="19"/>
  <c r="M48" i="19" s="1"/>
  <c r="M47" i="19" s="1"/>
  <c r="M46" i="19" s="1"/>
  <c r="M579" i="19" s="1"/>
  <c r="E19" i="6" s="1"/>
  <c r="M112" i="19"/>
  <c r="M111" i="19" s="1"/>
  <c r="M110" i="19" s="1"/>
  <c r="M101" i="19"/>
  <c r="M100" i="19" s="1"/>
  <c r="M99" i="19" s="1"/>
  <c r="M91" i="19" s="1"/>
  <c r="M510" i="3" l="1"/>
  <c r="M509" i="3" s="1"/>
  <c r="M504" i="3" s="1"/>
  <c r="M503" i="3" s="1"/>
  <c r="M425" i="3"/>
  <c r="M424" i="3" s="1"/>
  <c r="M773" i="3"/>
  <c r="M24" i="19"/>
  <c r="M23" i="19" s="1"/>
  <c r="M22" i="19" s="1"/>
  <c r="M820" i="3"/>
  <c r="M823" i="3" s="1"/>
  <c r="M654" i="3"/>
  <c r="M653" i="3" s="1"/>
  <c r="M812" i="3" s="1"/>
  <c r="M589" i="19"/>
  <c r="M457" i="19"/>
  <c r="M449" i="19" s="1"/>
  <c r="M578" i="19"/>
  <c r="E18" i="6" s="1"/>
  <c r="M643" i="3"/>
  <c r="M141" i="3"/>
  <c r="M784" i="3" s="1"/>
  <c r="D27" i="6" s="1"/>
  <c r="M161" i="19"/>
  <c r="M618" i="19"/>
  <c r="E45" i="6"/>
  <c r="M105" i="3"/>
  <c r="M536" i="19"/>
  <c r="M535" i="19" s="1"/>
  <c r="M610" i="19" s="1"/>
  <c r="M418" i="19"/>
  <c r="M417" i="19" s="1"/>
  <c r="M338" i="3"/>
  <c r="M337" i="3" s="1"/>
  <c r="M403" i="3"/>
  <c r="M402" i="3" s="1"/>
  <c r="M583" i="19"/>
  <c r="E22" i="6" s="1"/>
  <c r="M621" i="19"/>
  <c r="M624" i="19"/>
  <c r="E54" i="6"/>
  <c r="E53" i="6" s="1"/>
  <c r="M292" i="19"/>
  <c r="M732" i="3"/>
  <c r="M731" i="3" s="1"/>
  <c r="M339" i="19"/>
  <c r="M338" i="19" s="1"/>
  <c r="M337" i="19" s="1"/>
  <c r="M280" i="19"/>
  <c r="M402" i="19"/>
  <c r="M401" i="19" s="1"/>
  <c r="M90" i="19"/>
  <c r="M81" i="19" s="1"/>
  <c r="M567" i="3"/>
  <c r="M566" i="3" s="1"/>
  <c r="M565" i="3" s="1"/>
  <c r="M564" i="3" s="1"/>
  <c r="M591" i="3"/>
  <c r="M623" i="3"/>
  <c r="M618" i="3" s="1"/>
  <c r="M617" i="3" s="1"/>
  <c r="M802" i="3" s="1"/>
  <c r="M208" i="19"/>
  <c r="M778" i="3"/>
  <c r="M63" i="3"/>
  <c r="M52" i="3" s="1"/>
  <c r="M291" i="3"/>
  <c r="M283" i="3" s="1"/>
  <c r="M282" i="3" s="1"/>
  <c r="M713" i="3"/>
  <c r="M712" i="3" s="1"/>
  <c r="M711" i="3" s="1"/>
  <c r="M710" i="3" s="1"/>
  <c r="M797" i="3" s="1"/>
  <c r="M818" i="3"/>
  <c r="M217" i="3"/>
  <c r="M216" i="3" s="1"/>
  <c r="M611" i="3"/>
  <c r="M610" i="3" s="1"/>
  <c r="M21" i="3"/>
  <c r="M20" i="3" s="1"/>
  <c r="M587" i="19"/>
  <c r="E25" i="6" s="1"/>
  <c r="M599" i="19" l="1"/>
  <c r="E34" i="6" s="1"/>
  <c r="M798" i="3"/>
  <c r="D37" i="6" s="1"/>
  <c r="M13" i="3"/>
  <c r="M279" i="19"/>
  <c r="M597" i="19" s="1"/>
  <c r="E32" i="6" s="1"/>
  <c r="M401" i="3"/>
  <c r="M793" i="3" s="1"/>
  <c r="M423" i="3"/>
  <c r="M422" i="3" s="1"/>
  <c r="M794" i="3" s="1"/>
  <c r="D33" i="6" s="1"/>
  <c r="M576" i="19"/>
  <c r="E16" i="6" s="1"/>
  <c r="M15" i="19"/>
  <c r="M642" i="3"/>
  <c r="M634" i="3" s="1"/>
  <c r="M811" i="3"/>
  <c r="M356" i="19"/>
  <c r="M355" i="19" s="1"/>
  <c r="M354" i="19" s="1"/>
  <c r="M534" i="19"/>
  <c r="M533" i="19" s="1"/>
  <c r="E43" i="6"/>
  <c r="E41" i="6" s="1"/>
  <c r="M207" i="19"/>
  <c r="M580" i="19" s="1"/>
  <c r="E27" i="6"/>
  <c r="E24" i="6" s="1"/>
  <c r="M605" i="19"/>
  <c r="M416" i="19"/>
  <c r="M393" i="19" s="1"/>
  <c r="M788" i="3"/>
  <c r="M791" i="3" s="1"/>
  <c r="M336" i="3"/>
  <c r="M291" i="19"/>
  <c r="M598" i="19" s="1"/>
  <c r="E47" i="6"/>
  <c r="E46" i="6" s="1"/>
  <c r="E29" i="6"/>
  <c r="E28" i="6" s="1"/>
  <c r="M807" i="3"/>
  <c r="M809" i="3" s="1"/>
  <c r="M730" i="3"/>
  <c r="M729" i="3" s="1"/>
  <c r="M109" i="19"/>
  <c r="M584" i="19"/>
  <c r="M104" i="3"/>
  <c r="M779" i="3" s="1"/>
  <c r="D23" i="6" s="1"/>
  <c r="M709" i="3"/>
  <c r="M692" i="3" s="1"/>
  <c r="M590" i="3"/>
  <c r="M589" i="3" s="1"/>
  <c r="M801" i="3" s="1"/>
  <c r="M803" i="3" s="1"/>
  <c r="M125" i="3"/>
  <c r="M771" i="3"/>
  <c r="D16" i="6" s="1"/>
  <c r="M14" i="19" l="1"/>
  <c r="M775" i="3"/>
  <c r="D20" i="6" s="1"/>
  <c r="M780" i="3"/>
  <c r="M602" i="19"/>
  <c r="E37" i="6" s="1"/>
  <c r="E33" i="6"/>
  <c r="M278" i="19"/>
  <c r="M264" i="19" s="1"/>
  <c r="M206" i="19"/>
  <c r="M205" i="19" s="1"/>
  <c r="M612" i="19"/>
  <c r="E20" i="6"/>
  <c r="E14" i="6" s="1"/>
  <c r="M581" i="19"/>
  <c r="M590" i="19"/>
  <c r="M785" i="3"/>
  <c r="E39" i="6"/>
  <c r="E38" i="6" s="1"/>
  <c r="M607" i="19"/>
  <c r="M585" i="19"/>
  <c r="E23" i="6"/>
  <c r="M91" i="3"/>
  <c r="M12" i="3" s="1"/>
  <c r="M588" i="3"/>
  <c r="M553" i="3" s="1"/>
  <c r="M281" i="3" l="1"/>
  <c r="M280" i="3" s="1"/>
  <c r="M603" i="19"/>
  <c r="M13" i="19"/>
  <c r="E31" i="6"/>
  <c r="M776" i="3"/>
  <c r="H96" i="7"/>
  <c r="H95" i="7" s="1"/>
  <c r="D24" i="8" l="1"/>
  <c r="D23" i="8" s="1"/>
  <c r="D22" i="8" s="1"/>
  <c r="D21" i="8" s="1"/>
  <c r="I263" i="18"/>
  <c r="I262" i="18" s="1"/>
  <c r="I261" i="18" s="1"/>
  <c r="H263" i="18"/>
  <c r="H262" i="18" s="1"/>
  <c r="H261" i="18" s="1"/>
  <c r="N211" i="19"/>
  <c r="N210" i="19" s="1"/>
  <c r="C23" i="2" l="1"/>
  <c r="H66" i="7" l="1"/>
  <c r="H67" i="7"/>
  <c r="H65" i="7" l="1"/>
  <c r="H229" i="7" l="1"/>
  <c r="H227" i="7" l="1"/>
  <c r="H480" i="7" l="1"/>
  <c r="H255" i="7" l="1"/>
  <c r="H104" i="18" l="1"/>
  <c r="H103" i="18" s="1"/>
  <c r="I104" i="18"/>
  <c r="I103" i="18" s="1"/>
  <c r="H17" i="7" l="1"/>
  <c r="H16" i="7" s="1"/>
  <c r="H40" i="7"/>
  <c r="H38" i="7" s="1"/>
  <c r="H156" i="7" l="1"/>
  <c r="H155" i="7" s="1"/>
  <c r="C71" i="2" l="1"/>
  <c r="C70" i="2" s="1"/>
  <c r="C13" i="27" l="1"/>
  <c r="C12" i="27" s="1"/>
  <c r="C11" i="27" s="1"/>
  <c r="C10" i="27" s="1"/>
  <c r="H427" i="7"/>
  <c r="H426" i="7" s="1"/>
  <c r="C37" i="5" l="1"/>
  <c r="I24" i="18"/>
  <c r="I26" i="18"/>
  <c r="I85" i="18"/>
  <c r="I127" i="18"/>
  <c r="I126" i="18" s="1"/>
  <c r="I140" i="18"/>
  <c r="I137" i="18" s="1"/>
  <c r="I159" i="18"/>
  <c r="I158" i="18" s="1"/>
  <c r="I157" i="18" s="1"/>
  <c r="I177" i="18"/>
  <c r="I219" i="18"/>
  <c r="I221" i="18"/>
  <c r="I251" i="18"/>
  <c r="I250" i="18" s="1"/>
  <c r="I318" i="18"/>
  <c r="I317" i="18" s="1"/>
  <c r="I330" i="18"/>
  <c r="I329" i="18" s="1"/>
  <c r="I333" i="18"/>
  <c r="I332" i="18" s="1"/>
  <c r="I339" i="18"/>
  <c r="I338" i="18" s="1"/>
  <c r="I337" i="18" s="1"/>
  <c r="I336" i="18" s="1"/>
  <c r="I349" i="18"/>
  <c r="I348" i="18" s="1"/>
  <c r="I347" i="18" s="1"/>
  <c r="I342" i="18" s="1"/>
  <c r="I367" i="18"/>
  <c r="I366" i="18" s="1"/>
  <c r="I374" i="18"/>
  <c r="I376" i="18"/>
  <c r="I378" i="18"/>
  <c r="I380" i="18"/>
  <c r="I419" i="18"/>
  <c r="H85" i="18"/>
  <c r="H69" i="18" s="1"/>
  <c r="N378" i="19"/>
  <c r="N377" i="19" s="1"/>
  <c r="N376" i="19" s="1"/>
  <c r="N375" i="19" s="1"/>
  <c r="N374" i="19" s="1"/>
  <c r="N373" i="19" s="1"/>
  <c r="N358" i="19"/>
  <c r="N352" i="19"/>
  <c r="N340" i="19" s="1"/>
  <c r="N334" i="19"/>
  <c r="N333" i="19" s="1"/>
  <c r="N314" i="19"/>
  <c r="N306" i="19"/>
  <c r="N289" i="19"/>
  <c r="N287" i="19"/>
  <c r="I15" i="18"/>
  <c r="I218" i="18" l="1"/>
  <c r="I217" i="18" s="1"/>
  <c r="I400" i="18"/>
  <c r="I399" i="18" s="1"/>
  <c r="I136" i="18"/>
  <c r="I353" i="18"/>
  <c r="I352" i="18" s="1"/>
  <c r="I196" i="18"/>
  <c r="I195" i="18" s="1"/>
  <c r="I194" i="18" s="1"/>
  <c r="I412" i="18"/>
  <c r="I411" i="18" s="1"/>
  <c r="I418" i="18"/>
  <c r="I417" i="18" s="1"/>
  <c r="H93" i="18"/>
  <c r="N283" i="19"/>
  <c r="N282" i="19" s="1"/>
  <c r="N295" i="19"/>
  <c r="I287" i="18"/>
  <c r="I311" i="18"/>
  <c r="I290" i="18"/>
  <c r="I89" i="18"/>
  <c r="I232" i="18"/>
  <c r="I231" i="18" s="1"/>
  <c r="I230" i="18" s="1"/>
  <c r="I267" i="18"/>
  <c r="I166" i="18"/>
  <c r="I165" i="18" s="1"/>
  <c r="I244" i="18"/>
  <c r="I243" i="18" s="1"/>
  <c r="I202" i="18"/>
  <c r="I201" i="18" s="1"/>
  <c r="I134" i="18"/>
  <c r="I133" i="18" s="1"/>
  <c r="I41" i="18"/>
  <c r="I29" i="18"/>
  <c r="I21" i="18"/>
  <c r="I14" i="18" s="1"/>
  <c r="I314" i="18"/>
  <c r="I308" i="18"/>
  <c r="I49" i="18"/>
  <c r="I370" i="18"/>
  <c r="I271" i="18"/>
  <c r="I171" i="18"/>
  <c r="I170" i="18" s="1"/>
  <c r="I45" i="18"/>
  <c r="I295" i="18"/>
  <c r="I298" i="18"/>
  <c r="I144" i="18"/>
  <c r="I70" i="18"/>
  <c r="I69" i="18" s="1"/>
  <c r="I328" i="18"/>
  <c r="I327" i="18" s="1"/>
  <c r="N310" i="19"/>
  <c r="I93" i="18"/>
  <c r="N294" i="19" l="1"/>
  <c r="N293" i="19" s="1"/>
  <c r="I286" i="18"/>
  <c r="I28" i="18"/>
  <c r="I13" i="18" s="1"/>
  <c r="I88" i="18"/>
  <c r="I87" i="18" s="1"/>
  <c r="I200" i="18"/>
  <c r="I193" i="18" s="1"/>
  <c r="I369" i="18"/>
  <c r="I365" i="18" s="1"/>
  <c r="I164" i="18"/>
  <c r="I156" i="18" s="1"/>
  <c r="I68" i="18"/>
  <c r="H223" i="18"/>
  <c r="N281" i="19"/>
  <c r="N280" i="19" s="1"/>
  <c r="N279" i="19" s="1"/>
  <c r="I223" i="18"/>
  <c r="I216" i="18" s="1"/>
  <c r="I266" i="18"/>
  <c r="I265" i="18" s="1"/>
  <c r="I260" i="18" s="1"/>
  <c r="I242" i="18"/>
  <c r="I241" i="18" s="1"/>
  <c r="I307" i="18"/>
  <c r="N362" i="19"/>
  <c r="N357" i="19" s="1"/>
  <c r="N597" i="19" l="1"/>
  <c r="F32" i="6" s="1"/>
  <c r="I364" i="18"/>
  <c r="N339" i="19"/>
  <c r="N338" i="19" s="1"/>
  <c r="N337" i="19" s="1"/>
  <c r="N292" i="19"/>
  <c r="I285" i="18"/>
  <c r="I284" i="18" s="1"/>
  <c r="I12" i="18"/>
  <c r="H522" i="7"/>
  <c r="H132" i="7"/>
  <c r="H131" i="7" s="1"/>
  <c r="H129" i="7"/>
  <c r="H128" i="7" s="1"/>
  <c r="H117" i="7"/>
  <c r="H107" i="7"/>
  <c r="H104" i="7"/>
  <c r="H102" i="7" s="1"/>
  <c r="H94" i="7"/>
  <c r="H60" i="7"/>
  <c r="H59" i="7"/>
  <c r="H57" i="7"/>
  <c r="H56" i="7"/>
  <c r="H55" i="7"/>
  <c r="H53" i="7"/>
  <c r="H52" i="7"/>
  <c r="H51" i="7"/>
  <c r="H34" i="7"/>
  <c r="H29" i="7"/>
  <c r="H27" i="7"/>
  <c r="H25" i="7"/>
  <c r="H24" i="7"/>
  <c r="H113" i="7"/>
  <c r="H43" i="7"/>
  <c r="H42" i="7"/>
  <c r="H36" i="7"/>
  <c r="H35" i="7"/>
  <c r="H50" i="7" l="1"/>
  <c r="H41" i="7"/>
  <c r="H54" i="7"/>
  <c r="H58" i="7"/>
  <c r="H23" i="7"/>
  <c r="N356" i="19"/>
  <c r="N355" i="19" s="1"/>
  <c r="N354" i="19" s="1"/>
  <c r="H92" i="7"/>
  <c r="N291" i="19"/>
  <c r="N598" i="19" s="1"/>
  <c r="F33" i="6" s="1"/>
  <c r="H112" i="7"/>
  <c r="H118" i="7"/>
  <c r="H37" i="7"/>
  <c r="H33" i="7" s="1"/>
  <c r="H15" i="7"/>
  <c r="H19" i="7"/>
  <c r="H115" i="7"/>
  <c r="H111" i="7"/>
  <c r="H32" i="7" l="1"/>
  <c r="H114" i="7"/>
  <c r="H110" i="7"/>
  <c r="N278" i="19"/>
  <c r="N264" i="19" s="1"/>
  <c r="H380" i="18"/>
  <c r="H349" i="18"/>
  <c r="H348" i="18" s="1"/>
  <c r="H347" i="18" s="1"/>
  <c r="H342" i="18" s="1"/>
  <c r="H318" i="18"/>
  <c r="H317" i="18" s="1"/>
  <c r="H109" i="7" l="1"/>
  <c r="H108" i="7" s="1"/>
  <c r="H400" i="18"/>
  <c r="H353" i="18"/>
  <c r="H352" i="18" s="1"/>
  <c r="H412" i="18"/>
  <c r="H411" i="18" s="1"/>
  <c r="D32" i="6"/>
  <c r="H370" i="18"/>
  <c r="H267" i="18"/>
  <c r="H221" i="18"/>
  <c r="H219" i="18"/>
  <c r="H177" i="18"/>
  <c r="H140" i="18"/>
  <c r="H137" i="18" s="1"/>
  <c r="H133" i="18" l="1"/>
  <c r="H218" i="18"/>
  <c r="H136" i="18"/>
  <c r="H196" i="18"/>
  <c r="H232" i="18"/>
  <c r="H148" i="18"/>
  <c r="H144" i="18"/>
  <c r="H548" i="7" l="1"/>
  <c r="H533" i="7"/>
  <c r="H532" i="7" s="1"/>
  <c r="H529" i="7"/>
  <c r="H528" i="7"/>
  <c r="H527" i="7"/>
  <c r="H500" i="7"/>
  <c r="H499" i="7"/>
  <c r="H496" i="7"/>
  <c r="H494" i="7"/>
  <c r="H490" i="7"/>
  <c r="H489" i="7" s="1"/>
  <c r="H484" i="7" s="1"/>
  <c r="H477" i="7"/>
  <c r="H475" i="7"/>
  <c r="H473" i="7"/>
  <c r="H469" i="7"/>
  <c r="H468" i="7"/>
  <c r="H467" i="7"/>
  <c r="H464" i="7"/>
  <c r="H452" i="7"/>
  <c r="H446" i="7"/>
  <c r="H442" i="7"/>
  <c r="H436" i="7"/>
  <c r="H430" i="7"/>
  <c r="H413" i="7"/>
  <c r="H404" i="7"/>
  <c r="H398" i="7"/>
  <c r="H397" i="7"/>
  <c r="H395" i="7"/>
  <c r="H394" i="7"/>
  <c r="H385" i="7"/>
  <c r="H384" i="7"/>
  <c r="H382" i="7"/>
  <c r="H381" i="7"/>
  <c r="H377" i="7"/>
  <c r="H376" i="7"/>
  <c r="H374" i="7"/>
  <c r="H373" i="7"/>
  <c r="H362" i="7"/>
  <c r="H359" i="7"/>
  <c r="H358" i="7" s="1"/>
  <c r="H357" i="7" s="1"/>
  <c r="H356" i="7"/>
  <c r="H352" i="7"/>
  <c r="H351" i="7"/>
  <c r="H350" i="7"/>
  <c r="H348" i="7"/>
  <c r="H347" i="7"/>
  <c r="H346" i="7"/>
  <c r="H341" i="7"/>
  <c r="H339" i="7"/>
  <c r="H325" i="7"/>
  <c r="H320" i="7"/>
  <c r="H313" i="7"/>
  <c r="H312" i="7"/>
  <c r="H311" i="7"/>
  <c r="H301" i="7"/>
  <c r="H299" i="7"/>
  <c r="H295" i="7"/>
  <c r="H292" i="7"/>
  <c r="H286" i="7"/>
  <c r="H284" i="7"/>
  <c r="H282" i="7"/>
  <c r="H280" i="7"/>
  <c r="H263" i="7"/>
  <c r="H262" i="7"/>
  <c r="H261" i="7"/>
  <c r="H257" i="7"/>
  <c r="H256" i="7" s="1"/>
  <c r="H254" i="7"/>
  <c r="H253" i="7"/>
  <c r="H233" i="7"/>
  <c r="H221" i="7"/>
  <c r="H220" i="7"/>
  <c r="H219" i="7"/>
  <c r="H214" i="7"/>
  <c r="H201" i="7"/>
  <c r="H200" i="7"/>
  <c r="H199" i="7"/>
  <c r="H196" i="7"/>
  <c r="H197" i="7"/>
  <c r="H195" i="7"/>
  <c r="H191" i="7"/>
  <c r="H190" i="7" s="1"/>
  <c r="H179" i="7"/>
  <c r="H178" i="7"/>
  <c r="H177" i="7"/>
  <c r="H172" i="7"/>
  <c r="H171" i="7" s="1"/>
  <c r="H166" i="7"/>
  <c r="H163" i="7"/>
  <c r="H152" i="7"/>
  <c r="H260" i="7" l="1"/>
  <c r="H259" i="7" s="1"/>
  <c r="H258" i="7" s="1"/>
  <c r="H396" i="7"/>
  <c r="H375" i="7"/>
  <c r="H393" i="7"/>
  <c r="H383" i="7"/>
  <c r="H372" i="7"/>
  <c r="H380" i="7"/>
  <c r="H466" i="7"/>
  <c r="H526" i="7"/>
  <c r="H525" i="7" s="1"/>
  <c r="H498" i="7"/>
  <c r="H223" i="7"/>
  <c r="H222" i="7" s="1"/>
  <c r="H361" i="7"/>
  <c r="H360" i="7" s="1"/>
  <c r="H252" i="7"/>
  <c r="B12" i="9"/>
  <c r="B11" i="9" s="1"/>
  <c r="H371" i="7" l="1"/>
  <c r="I119" i="18"/>
  <c r="D14" i="16"/>
  <c r="D13" i="16" s="1"/>
  <c r="E34" i="5" s="1"/>
  <c r="D40" i="16"/>
  <c r="D30" i="16" s="1"/>
  <c r="D46" i="16"/>
  <c r="D50" i="16"/>
  <c r="C50" i="16"/>
  <c r="C46" i="16"/>
  <c r="C40" i="16"/>
  <c r="C30" i="16" s="1"/>
  <c r="C22" i="16"/>
  <c r="C16" i="16" s="1"/>
  <c r="C14" i="16"/>
  <c r="C13" i="16" s="1"/>
  <c r="C31" i="2"/>
  <c r="C19" i="2"/>
  <c r="C18" i="2" l="1"/>
  <c r="C35" i="5"/>
  <c r="D34" i="5"/>
  <c r="E35" i="5"/>
  <c r="D35" i="5"/>
  <c r="I118" i="18"/>
  <c r="I117" i="18" s="1"/>
  <c r="D29" i="16"/>
  <c r="D28" i="16" s="1"/>
  <c r="C29" i="16"/>
  <c r="C28" i="16" s="1"/>
  <c r="C58" i="2"/>
  <c r="C40" i="2" s="1"/>
  <c r="C14" i="2"/>
  <c r="C13" i="2" s="1"/>
  <c r="C12" i="2" s="1"/>
  <c r="C12" i="16" l="1"/>
  <c r="D12" i="16"/>
  <c r="D11" i="16" s="1"/>
  <c r="E36" i="5"/>
  <c r="E33" i="5" s="1"/>
  <c r="E32" i="5" s="1"/>
  <c r="C34" i="5"/>
  <c r="D36" i="5" l="1"/>
  <c r="M574" i="19" s="1"/>
  <c r="E44" i="5"/>
  <c r="E20" i="8" s="1"/>
  <c r="E19" i="8" s="1"/>
  <c r="E18" i="8" s="1"/>
  <c r="E17" i="8" s="1"/>
  <c r="C11" i="16"/>
  <c r="N259" i="19"/>
  <c r="N258" i="19" s="1"/>
  <c r="N237" i="19"/>
  <c r="N236" i="19" s="1"/>
  <c r="N235" i="19" s="1"/>
  <c r="N219" i="19"/>
  <c r="N215" i="19"/>
  <c r="D33" i="5" l="1"/>
  <c r="D32" i="5" s="1"/>
  <c r="C36" i="5"/>
  <c r="C33" i="5" s="1"/>
  <c r="N214" i="19"/>
  <c r="N213" i="19" s="1"/>
  <c r="N209" i="19"/>
  <c r="F29" i="6"/>
  <c r="F28" i="6" s="1"/>
  <c r="H337" i="7"/>
  <c r="N257" i="19"/>
  <c r="N256" i="19" s="1"/>
  <c r="N255" i="19" s="1"/>
  <c r="N254" i="19" s="1"/>
  <c r="I148" i="18"/>
  <c r="I143" i="18" s="1"/>
  <c r="N440" i="19"/>
  <c r="N427" i="19"/>
  <c r="N421" i="19"/>
  <c r="N420" i="19" s="1"/>
  <c r="N406" i="19"/>
  <c r="C32" i="5" l="1"/>
  <c r="C44" i="5" s="1"/>
  <c r="C20" i="8" s="1"/>
  <c r="D44" i="5"/>
  <c r="D20" i="8" s="1"/>
  <c r="D19" i="8" s="1"/>
  <c r="D18" i="8" s="1"/>
  <c r="D17" i="8" s="1"/>
  <c r="N405" i="19"/>
  <c r="N404" i="19" s="1"/>
  <c r="N403" i="19" s="1"/>
  <c r="I142" i="18"/>
  <c r="I116" i="18" s="1"/>
  <c r="N208" i="19"/>
  <c r="N444" i="19"/>
  <c r="N439" i="19" s="1"/>
  <c r="N438" i="19" s="1"/>
  <c r="N437" i="19" s="1"/>
  <c r="N436" i="19" s="1"/>
  <c r="N606" i="19" s="1"/>
  <c r="F40" i="6" s="1"/>
  <c r="H170" i="7"/>
  <c r="H189" i="7"/>
  <c r="H187" i="7" s="1"/>
  <c r="N419" i="19"/>
  <c r="D40" i="6"/>
  <c r="D16" i="8" l="1"/>
  <c r="D11" i="8" s="1"/>
  <c r="I431" i="18"/>
  <c r="N207" i="19"/>
  <c r="N580" i="19" s="1"/>
  <c r="F20" i="6" s="1"/>
  <c r="N418" i="19"/>
  <c r="N417" i="19" s="1"/>
  <c r="N402" i="19"/>
  <c r="D29" i="6"/>
  <c r="D28" i="6" s="1"/>
  <c r="N152" i="19"/>
  <c r="N151" i="19" s="1"/>
  <c r="N150" i="19" s="1"/>
  <c r="N149" i="19" s="1"/>
  <c r="N148" i="19" s="1"/>
  <c r="N147" i="19" s="1"/>
  <c r="N133" i="19"/>
  <c r="N132" i="19" s="1"/>
  <c r="N131" i="19" s="1"/>
  <c r="N126" i="19" s="1"/>
  <c r="N123" i="19"/>
  <c r="N122" i="19" s="1"/>
  <c r="N121" i="19" s="1"/>
  <c r="N120" i="19" s="1"/>
  <c r="N119" i="19" s="1"/>
  <c r="N588" i="19" s="1"/>
  <c r="F26" i="6" s="1"/>
  <c r="N117" i="19"/>
  <c r="N116" i="19" s="1"/>
  <c r="N114" i="19"/>
  <c r="N113" i="19" s="1"/>
  <c r="N101" i="19"/>
  <c r="N100" i="19" s="1"/>
  <c r="N99" i="19" s="1"/>
  <c r="N91" i="19" s="1"/>
  <c r="N88" i="19"/>
  <c r="N86" i="19"/>
  <c r="N49" i="19"/>
  <c r="N44" i="19"/>
  <c r="N43" i="19" s="1"/>
  <c r="N42" i="19" s="1"/>
  <c r="N41" i="19" s="1"/>
  <c r="N40" i="19" s="1"/>
  <c r="N577" i="19" s="1"/>
  <c r="F17" i="6" s="1"/>
  <c r="N32" i="19"/>
  <c r="N30" i="19"/>
  <c r="N26" i="19"/>
  <c r="N20" i="19"/>
  <c r="N19" i="19" s="1"/>
  <c r="N18" i="19" s="1"/>
  <c r="N17" i="19" s="1"/>
  <c r="N16" i="19" s="1"/>
  <c r="D26" i="6"/>
  <c r="D24" i="6" s="1"/>
  <c r="D17" i="6"/>
  <c r="D15" i="6"/>
  <c r="N25" i="19" l="1"/>
  <c r="N599" i="19"/>
  <c r="F34" i="6" s="1"/>
  <c r="N401" i="19"/>
  <c r="N206" i="19"/>
  <c r="N205" i="19" s="1"/>
  <c r="N605" i="19"/>
  <c r="F39" i="6" s="1"/>
  <c r="F38" i="6" s="1"/>
  <c r="N416" i="19"/>
  <c r="N85" i="19"/>
  <c r="N84" i="19" s="1"/>
  <c r="N83" i="19" s="1"/>
  <c r="N82" i="19" s="1"/>
  <c r="N136" i="19"/>
  <c r="N135" i="19" s="1"/>
  <c r="N125" i="19" s="1"/>
  <c r="N90" i="19"/>
  <c r="N584" i="19" s="1"/>
  <c r="F23" i="6" s="1"/>
  <c r="N575" i="19"/>
  <c r="F15" i="6" s="1"/>
  <c r="N48" i="19"/>
  <c r="N47" i="19" s="1"/>
  <c r="N46" i="19" s="1"/>
  <c r="N579" i="19" s="1"/>
  <c r="F19" i="6" s="1"/>
  <c r="D19" i="6"/>
  <c r="D42" i="6"/>
  <c r="N609" i="19"/>
  <c r="F42" i="6" s="1"/>
  <c r="H300" i="7"/>
  <c r="H298" i="7" s="1"/>
  <c r="N112" i="19"/>
  <c r="N111" i="19" s="1"/>
  <c r="N110" i="19" s="1"/>
  <c r="N587" i="19" s="1"/>
  <c r="F25" i="6" s="1"/>
  <c r="N24" i="19" l="1"/>
  <c r="N23" i="19" s="1"/>
  <c r="N22" i="19" s="1"/>
  <c r="N589" i="19"/>
  <c r="N393" i="19"/>
  <c r="D22" i="6"/>
  <c r="D39" i="6"/>
  <c r="D38" i="6" s="1"/>
  <c r="N81" i="19"/>
  <c r="N583" i="19"/>
  <c r="F22" i="6" s="1"/>
  <c r="F21" i="6" s="1"/>
  <c r="N576" i="19" l="1"/>
  <c r="F16" i="6" s="1"/>
  <c r="N15" i="19"/>
  <c r="F27" i="6"/>
  <c r="F24" i="6" s="1"/>
  <c r="N109" i="19"/>
  <c r="E21" i="6"/>
  <c r="E12" i="6" s="1"/>
  <c r="N192" i="19"/>
  <c r="N191" i="19" s="1"/>
  <c r="N190" i="19" s="1"/>
  <c r="N189" i="19" s="1"/>
  <c r="N188" i="19" s="1"/>
  <c r="N167" i="19"/>
  <c r="N166" i="19" s="1"/>
  <c r="N165" i="19" s="1"/>
  <c r="N164" i="19" s="1"/>
  <c r="N163" i="19" s="1"/>
  <c r="N162" i="19" s="1"/>
  <c r="N14" i="19" l="1"/>
  <c r="N187" i="19"/>
  <c r="N161" i="19" s="1"/>
  <c r="N623" i="19"/>
  <c r="F54" i="6" s="1"/>
  <c r="F53" i="6" s="1"/>
  <c r="I410" i="18"/>
  <c r="I435" i="18" l="1"/>
  <c r="N198" i="19"/>
  <c r="N197" i="19" s="1"/>
  <c r="N196" i="19" s="1"/>
  <c r="N195" i="19" s="1"/>
  <c r="N496" i="19"/>
  <c r="N495" i="19" s="1"/>
  <c r="N494" i="19" s="1"/>
  <c r="N493" i="19" s="1"/>
  <c r="N492" i="19" s="1"/>
  <c r="N458" i="19" l="1"/>
  <c r="N614" i="19" s="1"/>
  <c r="N617" i="19"/>
  <c r="F50" i="6" s="1"/>
  <c r="N578" i="19"/>
  <c r="F18" i="6" s="1"/>
  <c r="F14" i="6" s="1"/>
  <c r="N457" i="19" l="1"/>
  <c r="N449" i="19" s="1"/>
  <c r="F47" i="6"/>
  <c r="F46" i="6" s="1"/>
  <c r="N528" i="19"/>
  <c r="N527" i="19" s="1"/>
  <c r="N526" i="19" s="1"/>
  <c r="N525" i="19" s="1"/>
  <c r="N524" i="19" s="1"/>
  <c r="N602" i="19" s="1"/>
  <c r="N518" i="19"/>
  <c r="N517" i="19" s="1"/>
  <c r="N516" i="19" s="1"/>
  <c r="N601" i="19" s="1"/>
  <c r="F37" i="6" l="1"/>
  <c r="N515" i="19"/>
  <c r="N501" i="19" s="1"/>
  <c r="N560" i="19"/>
  <c r="N550" i="19"/>
  <c r="N539" i="19"/>
  <c r="N538" i="19" l="1"/>
  <c r="N537" i="19" s="1"/>
  <c r="F36" i="6"/>
  <c r="F31" i="6" s="1"/>
  <c r="N556" i="19"/>
  <c r="N555" i="19" s="1"/>
  <c r="N554" i="19" s="1"/>
  <c r="N553" i="19" s="1"/>
  <c r="N536" i="19" l="1"/>
  <c r="N535" i="19" s="1"/>
  <c r="H12" i="6"/>
  <c r="N611" i="19"/>
  <c r="F45" i="6" s="1"/>
  <c r="N610" i="19" l="1"/>
  <c r="F43" i="6" s="1"/>
  <c r="F41" i="6" s="1"/>
  <c r="N534" i="19"/>
  <c r="N533" i="19" s="1"/>
  <c r="D45" i="6"/>
  <c r="D50" i="6" l="1"/>
  <c r="D48" i="6" l="1"/>
  <c r="D43" i="6"/>
  <c r="D41" i="6" s="1"/>
  <c r="D47" i="6" l="1"/>
  <c r="D54" i="6" l="1"/>
  <c r="D53" i="6" s="1"/>
  <c r="D36" i="6"/>
  <c r="H521" i="7"/>
  <c r="H520" i="7" s="1"/>
  <c r="H519" i="7" s="1"/>
  <c r="H518" i="7" s="1"/>
  <c r="D18" i="6" l="1"/>
  <c r="H412" i="7"/>
  <c r="H411" i="7" s="1"/>
  <c r="H374" i="18" l="1"/>
  <c r="H472" i="7" l="1"/>
  <c r="H18" i="7" l="1"/>
  <c r="H106" i="7" l="1"/>
  <c r="H105" i="7" s="1"/>
  <c r="H176" i="7" l="1"/>
  <c r="H175" i="7" s="1"/>
  <c r="N621" i="19" l="1"/>
  <c r="H338" i="7" l="1"/>
  <c r="H355" i="7"/>
  <c r="H410" i="7" l="1"/>
  <c r="H409" i="7" s="1"/>
  <c r="I423" i="18" l="1"/>
  <c r="I422" i="18" s="1"/>
  <c r="I11" i="18" s="1"/>
  <c r="H423" i="18"/>
  <c r="H422" i="18" s="1"/>
  <c r="H438" i="18" s="1"/>
  <c r="H271" i="18"/>
  <c r="H266" i="18" s="1"/>
  <c r="H265" i="18" s="1"/>
  <c r="H244" i="18"/>
  <c r="H243" i="18" s="1"/>
  <c r="I438" i="18" l="1"/>
  <c r="H195" i="18" l="1"/>
  <c r="H49" i="18"/>
  <c r="H41" i="18"/>
  <c r="H26" i="18"/>
  <c r="H24" i="18"/>
  <c r="H15" i="18"/>
  <c r="H419" i="18"/>
  <c r="H399" i="18"/>
  <c r="H378" i="18"/>
  <c r="H376" i="18"/>
  <c r="H367" i="18"/>
  <c r="H366" i="18" s="1"/>
  <c r="H339" i="18"/>
  <c r="H338" i="18" s="1"/>
  <c r="H337" i="18" s="1"/>
  <c r="H336" i="18" s="1"/>
  <c r="H333" i="18"/>
  <c r="H332" i="18" s="1"/>
  <c r="H330" i="18"/>
  <c r="H329" i="18" s="1"/>
  <c r="H314" i="18"/>
  <c r="H311" i="18"/>
  <c r="H308" i="18"/>
  <c r="H298" i="18"/>
  <c r="H295" i="18"/>
  <c r="H290" i="18"/>
  <c r="H287" i="18"/>
  <c r="H251" i="18"/>
  <c r="H250" i="18" s="1"/>
  <c r="H231" i="18"/>
  <c r="H230" i="18" s="1"/>
  <c r="H201" i="18"/>
  <c r="H200" i="18" s="1"/>
  <c r="H171" i="18"/>
  <c r="H170" i="18" s="1"/>
  <c r="H165" i="18"/>
  <c r="H127" i="18"/>
  <c r="H126" i="18" s="1"/>
  <c r="H119" i="18"/>
  <c r="H118" i="18" s="1"/>
  <c r="H286" i="18" l="1"/>
  <c r="H117" i="18"/>
  <c r="H369" i="18"/>
  <c r="H365" i="18" s="1"/>
  <c r="H164" i="18"/>
  <c r="H156" i="18" s="1"/>
  <c r="H242" i="18"/>
  <c r="H418" i="18"/>
  <c r="H417" i="18" s="1"/>
  <c r="H217" i="18"/>
  <c r="H216" i="18" s="1"/>
  <c r="H29" i="18"/>
  <c r="H410" i="18"/>
  <c r="H143" i="18"/>
  <c r="H142" i="18" s="1"/>
  <c r="H194" i="18"/>
  <c r="H45" i="18"/>
  <c r="H28" i="18" s="1"/>
  <c r="H89" i="18"/>
  <c r="H88" i="18" s="1"/>
  <c r="H21" i="18"/>
  <c r="H14" i="18" s="1"/>
  <c r="H328" i="18"/>
  <c r="H327" i="18" s="1"/>
  <c r="H260" i="18"/>
  <c r="H307" i="18"/>
  <c r="H13" i="18" l="1"/>
  <c r="H193" i="18"/>
  <c r="H435" i="18"/>
  <c r="H116" i="18"/>
  <c r="H68" i="18"/>
  <c r="H285" i="18"/>
  <c r="H284" i="18" s="1"/>
  <c r="H241" i="18"/>
  <c r="H87" i="18"/>
  <c r="H364" i="18"/>
  <c r="H12" i="18" l="1"/>
  <c r="H11" i="18" s="1"/>
  <c r="H431" i="18" l="1"/>
  <c r="H440" i="18" s="1"/>
  <c r="H436" i="18" s="1"/>
  <c r="K11" i="18"/>
  <c r="I440" i="18"/>
  <c r="I436" i="18" s="1"/>
  <c r="H324" i="7"/>
  <c r="H323" i="7" s="1"/>
  <c r="I433" i="18" l="1"/>
  <c r="I439" i="18"/>
  <c r="H439" i="18"/>
  <c r="H433" i="18"/>
  <c r="N566" i="19" l="1"/>
  <c r="N13" i="19" s="1"/>
  <c r="N574" i="19" s="1"/>
  <c r="L11" i="18" l="1"/>
  <c r="E24" i="8"/>
  <c r="E23" i="8" s="1"/>
  <c r="E22" i="8" s="1"/>
  <c r="E21" i="8" s="1"/>
  <c r="N626" i="19"/>
  <c r="F57" i="6" s="1"/>
  <c r="F56" i="6" s="1"/>
  <c r="E16" i="8" l="1"/>
  <c r="E11" i="8" s="1"/>
  <c r="F12" i="6"/>
  <c r="I12" i="6" s="1"/>
  <c r="N612" i="19"/>
  <c r="N624" i="19"/>
  <c r="N585" i="19"/>
  <c r="N595" i="19"/>
  <c r="N590" i="19" l="1"/>
  <c r="N607" i="19"/>
  <c r="N603" i="19"/>
  <c r="N618" i="19"/>
  <c r="N581" i="19"/>
  <c r="H547" i="7" l="1"/>
  <c r="H542" i="7" s="1"/>
  <c r="H541" i="7" l="1"/>
  <c r="H14" i="7"/>
  <c r="H340" i="7" l="1"/>
  <c r="H425" i="7" l="1"/>
  <c r="H283" i="7"/>
  <c r="H291" i="7"/>
  <c r="H288" i="7" s="1"/>
  <c r="H285" i="7"/>
  <c r="H495" i="7" l="1"/>
  <c r="H493" i="7"/>
  <c r="H474" i="7"/>
  <c r="H492" i="7" l="1"/>
  <c r="H403" i="7"/>
  <c r="H402" i="7" s="1"/>
  <c r="H457" i="7" l="1"/>
  <c r="H456" i="7" s="1"/>
  <c r="H455" i="7" s="1"/>
  <c r="H454" i="7" s="1"/>
  <c r="H451" i="7"/>
  <c r="H450" i="7" s="1"/>
  <c r="H445" i="7"/>
  <c r="H444" i="7" s="1"/>
  <c r="H443" i="7" s="1"/>
  <c r="H441" i="7"/>
  <c r="H435" i="7"/>
  <c r="H434" i="7" s="1"/>
  <c r="H429" i="7"/>
  <c r="H428" i="7" s="1"/>
  <c r="H449" i="7" l="1"/>
  <c r="H448" i="7" s="1"/>
  <c r="H433" i="7"/>
  <c r="H440" i="7"/>
  <c r="H439" i="7" s="1"/>
  <c r="H336" i="7"/>
  <c r="H335" i="7" s="1"/>
  <c r="H294" i="7"/>
  <c r="H211" i="7"/>
  <c r="H334" i="7" l="1"/>
  <c r="H218" i="7"/>
  <c r="H217" i="7" s="1"/>
  <c r="H198" i="7"/>
  <c r="H297" i="7"/>
  <c r="H296" i="7" s="1"/>
  <c r="H194" i="7"/>
  <c r="H392" i="7"/>
  <c r="H310" i="7"/>
  <c r="H309" i="7" s="1"/>
  <c r="H169" i="7"/>
  <c r="H162" i="7"/>
  <c r="H161" i="7" s="1"/>
  <c r="H151" i="7"/>
  <c r="H150" i="7" s="1"/>
  <c r="H28" i="7"/>
  <c r="H26" i="7"/>
  <c r="H279" i="7"/>
  <c r="H370" i="7" l="1"/>
  <c r="H369" i="7" s="1"/>
  <c r="H13" i="7"/>
  <c r="H12" i="7" s="1"/>
  <c r="H193" i="7"/>
  <c r="H192" i="7" s="1"/>
  <c r="H186" i="7"/>
  <c r="H165" i="7"/>
  <c r="H164" i="7" s="1"/>
  <c r="H149" i="7" l="1"/>
  <c r="H185" i="7"/>
  <c r="H148" i="7" l="1"/>
  <c r="H497" i="7"/>
  <c r="H345" i="7"/>
  <c r="H349" i="7"/>
  <c r="H344" i="7" l="1"/>
  <c r="H343" i="7" s="1"/>
  <c r="H333" i="7" s="1"/>
  <c r="H216" i="7"/>
  <c r="H476" i="7" l="1"/>
  <c r="H281" i="7"/>
  <c r="H278" i="7" s="1"/>
  <c r="H277" i="7" s="1"/>
  <c r="H524" i="7" l="1"/>
  <c r="H564" i="7" s="1"/>
  <c r="D21" i="6"/>
  <c r="H438" i="7"/>
  <c r="H432" i="7"/>
  <c r="H424" i="7"/>
  <c r="H423" i="7" s="1"/>
  <c r="H319" i="7"/>
  <c r="H318" i="7" s="1"/>
  <c r="H293" i="7"/>
  <c r="H251" i="7"/>
  <c r="H250" i="7" s="1"/>
  <c r="H213" i="7"/>
  <c r="H210" i="7"/>
  <c r="H209" i="7" l="1"/>
  <c r="H208" i="7" s="1"/>
  <c r="H287" i="7"/>
  <c r="H276" i="7" s="1"/>
  <c r="H308" i="7"/>
  <c r="H307" i="7" l="1"/>
  <c r="H249" i="7" l="1"/>
  <c r="H463" i="7" l="1"/>
  <c r="H462" i="7" s="1"/>
  <c r="C11" i="2" l="1"/>
  <c r="H479" i="7" l="1"/>
  <c r="C19" i="8" l="1"/>
  <c r="C18" i="8" s="1"/>
  <c r="C17" i="8" s="1"/>
  <c r="H478" i="7"/>
  <c r="D14" i="6"/>
  <c r="H465" i="7" l="1"/>
  <c r="H461" i="7" s="1"/>
  <c r="H460" i="7" l="1"/>
  <c r="H85" i="7"/>
  <c r="H84" i="7" s="1"/>
  <c r="H83" i="7" l="1"/>
  <c r="H11" i="7" s="1"/>
  <c r="H10" i="7" s="1"/>
  <c r="H560" i="7" l="1"/>
  <c r="H562" i="7" l="1"/>
  <c r="H566" i="7"/>
  <c r="H565" i="7" s="1"/>
  <c r="M479" i="3" l="1"/>
  <c r="M478" i="3" s="1"/>
  <c r="M477" i="3" s="1"/>
  <c r="M400" i="3" l="1"/>
  <c r="M795" i="3"/>
  <c r="D34" i="6" l="1"/>
  <c r="D31" i="6" s="1"/>
  <c r="M799" i="3"/>
  <c r="M544" i="3"/>
  <c r="M543" i="3" s="1"/>
  <c r="M542" i="3" s="1"/>
  <c r="M813" i="3" s="1"/>
  <c r="M541" i="3" l="1"/>
  <c r="M383" i="3" s="1"/>
  <c r="M11" i="3" s="1"/>
  <c r="C24" i="8" s="1"/>
  <c r="M815" i="3" l="1"/>
  <c r="M824" i="3" s="1"/>
  <c r="D49" i="6"/>
  <c r="D46" i="6" s="1"/>
  <c r="D12" i="6" s="1"/>
  <c r="G12" i="6" s="1"/>
  <c r="C23" i="8"/>
  <c r="C22" i="8" s="1"/>
  <c r="C21" i="8" s="1"/>
  <c r="C16" i="8" s="1"/>
  <c r="C11" i="8" s="1"/>
  <c r="J10" i="7"/>
</calcChain>
</file>

<file path=xl/sharedStrings.xml><?xml version="1.0" encoding="utf-8"?>
<sst xmlns="http://schemas.openxmlformats.org/spreadsheetml/2006/main" count="15867" uniqueCount="764">
  <si>
    <t>Администрация муниципального образования Апшеронский район</t>
  </si>
  <si>
    <t>902</t>
  </si>
  <si>
    <t>Финансовое управление администрации муниципального образования Апшеронский район</t>
  </si>
  <si>
    <t>Увеличение прочих остатков денежных средств бюджетов муниципальных районов</t>
  </si>
  <si>
    <t>Уменьшение прочих остатков денежных средств бюджетов муниципальных районов</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</si>
  <si>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</si>
  <si>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Управление имущественных отношений администрации муниципального образования Апшеронский район</t>
  </si>
  <si>
    <t>Управление образования администрации муниципального образования Апшеронский район</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</si>
  <si>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</si>
  <si>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Отдел культуры администрации муниципального образования Апшеронский район</t>
  </si>
  <si>
    <t>Отдел по физической культуре и спорту администрации муниципального образования Апшеронский район</t>
  </si>
  <si>
    <t>Отдел по делам молодежи администрации муниципального образования Апшеронский район</t>
  </si>
  <si>
    <t>Отдел по вопросам семьи и детства администрации муниципального образования Апшеронский район</t>
  </si>
  <si>
    <t>Код</t>
  </si>
  <si>
    <t>Наименование дохода</t>
  </si>
  <si>
    <t>Сумма</t>
  </si>
  <si>
    <t>2 00 00000 00 0000 000</t>
  </si>
  <si>
    <t>2 02 00000 00 0000 000</t>
  </si>
  <si>
    <t>Безвозмездные поступления от других бюджетов бюджетной системы Российской Федерации</t>
  </si>
  <si>
    <t>Дотации на выравнивание бюджетной обеспеченности</t>
  </si>
  <si>
    <t>Субвенции местным бюджетам на выполнение передаваемых полномочий субъектов Российской Федерации</t>
  </si>
  <si>
    <t>(тыс. рублей)</t>
  </si>
  <si>
    <t>№ п\п</t>
  </si>
  <si>
    <t>Наименование</t>
  </si>
  <si>
    <t>Вед</t>
  </si>
  <si>
    <t>РЗ</t>
  </si>
  <si>
    <t>ПР</t>
  </si>
  <si>
    <t>ЦСР</t>
  </si>
  <si>
    <t>ВР</t>
  </si>
  <si>
    <t>3</t>
  </si>
  <si>
    <t>4</t>
  </si>
  <si>
    <t>5</t>
  </si>
  <si>
    <t>6</t>
  </si>
  <si>
    <t>7</t>
  </si>
  <si>
    <t>Контрольно-счетная палата муниципального образования Апшеронский район</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</si>
  <si>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</si>
  <si>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</si>
  <si>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</si>
  <si>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</si>
  <si>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Муниципальная программа муниципального образования Апшеронский район "Организация муниципального управления"</t>
  </si>
  <si>
    <t>17</t>
  </si>
  <si>
    <t>0</t>
  </si>
  <si>
    <t>00</t>
  </si>
  <si>
    <t>00000</t>
  </si>
  <si>
    <t>1</t>
  </si>
  <si>
    <t xml:space="preserve">Обеспечение деятельности высшего должностного лица муниципального образования </t>
  </si>
  <si>
    <t>Расходы на обеспечение функций органов местного самоуправления</t>
  </si>
  <si>
    <t>00190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</si>
  <si>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</si>
  <si>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</si>
  <si>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04</t>
  </si>
  <si>
    <t>Муниципальная программа муниципального образования  Апшеронский район "Организация муниципального управления"</t>
  </si>
  <si>
    <t>Обеспечение деятельности администрации муниципального образования</t>
  </si>
  <si>
    <t>Закупка товаров, работ и услуг для обеспечения государственных (муниципальных) нужд</t>
  </si>
  <si>
    <t>200</t>
  </si>
  <si>
    <t>Иные бюджетные ассигнования</t>
  </si>
  <si>
    <t>800</t>
  </si>
  <si>
    <t>60870</t>
  </si>
  <si>
    <t>Осуществление отдельных государственных полномочий по созданию и организации деятельности комиссий по делам несовершеннолетних и защите их прав</t>
  </si>
  <si>
    <t>60910</t>
  </si>
  <si>
    <t>Развитие муниципального управления</t>
  </si>
  <si>
    <t>03</t>
  </si>
  <si>
    <t>Административная реформа</t>
  </si>
  <si>
    <t>05</t>
  </si>
  <si>
    <t>Резервные фонды</t>
  </si>
  <si>
    <t>11</t>
  </si>
  <si>
    <t>99</t>
  </si>
  <si>
    <t>90010</t>
  </si>
  <si>
    <t>Другие общегосударственные вопросы</t>
  </si>
  <si>
    <t>13</t>
  </si>
  <si>
    <t>Муниципальная программа муниципального образования Апшеронский район "Поддержка социально ориентированных некоммерческих организаций"</t>
  </si>
  <si>
    <t>15</t>
  </si>
  <si>
    <t>Субсидии на поддержку социально ориентированных некоммерческих организаций</t>
  </si>
  <si>
    <t>11600</t>
  </si>
  <si>
    <t>Предоставление субсидий бюджетным, автономным учреждениям и иным некоммерческим организациям</t>
  </si>
  <si>
    <t>600</t>
  </si>
  <si>
    <t>Национальная безопасность и правоохранительная деятельность</t>
  </si>
  <si>
    <t>09</t>
  </si>
  <si>
    <t>Муниципальная программа муниципального образования Апшеронский район "Обеспечение безопасности населения"</t>
  </si>
  <si>
    <t>06</t>
  </si>
  <si>
    <t>Предупреждение и ликвидация чрезвычайных ситуаций, стихийных бедствий и их последствий в муниципальном образовании</t>
  </si>
  <si>
    <t>Обеспечение защиты населения и территории муниципального образования Апшеронский район от чрезвычайных ситуаций природного и техногенного характера</t>
  </si>
  <si>
    <t>10600</t>
  </si>
  <si>
    <t>Реализация мероприятий муниципальной программы "Обеспечение безопасности населения"</t>
  </si>
  <si>
    <t>10660</t>
  </si>
  <si>
    <t>Другие вопросы в области национальной безопасности и правоохранительной деятельности</t>
  </si>
  <si>
    <t>14</t>
  </si>
  <si>
    <t>2</t>
  </si>
  <si>
    <t>10610</t>
  </si>
  <si>
    <t>00590</t>
  </si>
  <si>
    <t>Национальная экономика</t>
  </si>
  <si>
    <t>Сельское хозяйство и рыболовство</t>
  </si>
  <si>
    <t xml:space="preserve">Муниципальная программа муниципального образования  Апшеронский район "Развитие сельского хозяйства" </t>
  </si>
  <si>
    <t>Развитие малых форм хозяйствования в АПК в муниципальном образовании Апшеронский район</t>
  </si>
  <si>
    <t>Обеспечение эпизоотического, ветеринарно-санитарного благополучия в муниципальном образовании Апшеронский район</t>
  </si>
  <si>
    <t>61650</t>
  </si>
  <si>
    <t>Дорожное хозяйство (дорожные фонды)</t>
  </si>
  <si>
    <t>Муниципальная программа муниципального образования Апшеронский район "Поддержка дорожного хозяйства"</t>
  </si>
  <si>
    <t>12</t>
  </si>
  <si>
    <t>Создание устойчивого и безопасного функционирования автомобильных дорог общего пользования местного значения муниципального образования Апшеронский район</t>
  </si>
  <si>
    <t>Строительство, реконструкция, капитальный ремонт, ремонт и содержание автомобильных дорог общего пользования местного значения, включая проектно-изыскательские работы</t>
  </si>
  <si>
    <t>11300</t>
  </si>
  <si>
    <t>10</t>
  </si>
  <si>
    <t>11820</t>
  </si>
  <si>
    <t>Другие вопросы в области национальной экономики</t>
  </si>
  <si>
    <t>Муниципальная программа муниципального образования Апшеронский район "Экономическое развитие муниципального образования"</t>
  </si>
  <si>
    <t>Развитие малого и среднего предпринимательства в муниципальном образовании</t>
  </si>
  <si>
    <t>Финансовая поддержка субъектов малого и среднего предпринимательства</t>
  </si>
  <si>
    <t>Развитие и поддержка малого и среднего предпринимательства</t>
  </si>
  <si>
    <t>11400</t>
  </si>
  <si>
    <t>Инвестиционное развитие муниципального образования</t>
  </si>
  <si>
    <t>Создание условий для инвестиционного развития муниципального образования Апшеронский район</t>
  </si>
  <si>
    <t>Формирование и продвижение экономически и инвестиционно привлекательного образа муниципального образования Апшеронский район за его пределами</t>
  </si>
  <si>
    <t>11410</t>
  </si>
  <si>
    <t>Муниципальная программа муниципального образования Апшеронский район "Развитие санаторно-курортного и туристского комплекса"</t>
  </si>
  <si>
    <t xml:space="preserve">Реализация мероприятий муниципальной программы "Развитие санаторно-курортного и туристского комплекса" </t>
  </si>
  <si>
    <t>11500</t>
  </si>
  <si>
    <t>Социальная политика</t>
  </si>
  <si>
    <t>Социальное обеспечение и иные выплаты населению</t>
  </si>
  <si>
    <t>300</t>
  </si>
  <si>
    <t>Другие  вопросы в области социальной политики</t>
  </si>
  <si>
    <t>Межбюджетные трансферты</t>
  </si>
  <si>
    <t>500</t>
  </si>
  <si>
    <t>Профилактика терроризма и экстремизма в муниципальном образовании</t>
  </si>
  <si>
    <t>Организация физической охраны в здании администрации муниципального образования Апшеронский район</t>
  </si>
  <si>
    <t>Мероприятия по профилактике терроризма и экстремизма</t>
  </si>
  <si>
    <t>Наименование поселений</t>
  </si>
  <si>
    <t>910</t>
  </si>
  <si>
    <t>Обеспечение деятельности финансовых, налоговых и таможенных органов и органов финансового (финансово-бюджетного) надзора</t>
  </si>
  <si>
    <t>Обеспечение деятельности Контрольно-счетной палаты муниципального образования</t>
  </si>
  <si>
    <t>51</t>
  </si>
  <si>
    <t>Контрольно-счетная палата муниципального образования</t>
  </si>
  <si>
    <t>20010</t>
  </si>
  <si>
    <t>1 00 00000 00 0000 000</t>
  </si>
  <si>
    <t>Налоговые и неналоговые доходы</t>
  </si>
  <si>
    <t>1 01 01000 00 0000 110</t>
  </si>
  <si>
    <t>Налог на прибыль организаций*</t>
  </si>
  <si>
    <t>1 01 02000 01 0000 110</t>
  </si>
  <si>
    <t>Налог на доходы физических лиц*</t>
  </si>
  <si>
    <t>1 03 02230 01 0000 110
1 03 02240 01 0000 110
1 03 02250 01 0000 110
1 03 02260 01 0000 110</t>
  </si>
  <si>
    <t>1 05 02000 02 0000 110</t>
  </si>
  <si>
    <t>1 05 03000 01 0000 110</t>
  </si>
  <si>
    <t>Единый сельскохозяйственный налог*</t>
  </si>
  <si>
    <t>1 05 04000 02 0000 110</t>
  </si>
  <si>
    <t>Налог, взимаемый в связи с применением патентной системы налогообложения</t>
  </si>
  <si>
    <t>1 08 00000 00 0000 000</t>
  </si>
  <si>
    <t>Государственная пошлина*</t>
  </si>
  <si>
    <t>1 11 01050 05 0000 120</t>
  </si>
  <si>
    <t>1 11 05010 00 0000 120</t>
  </si>
  <si>
    <t>1 12 01000 01 0000 120</t>
  </si>
  <si>
    <t>Плата за негативное воздействие на окружающую среду*</t>
  </si>
  <si>
    <t>1 14 00000 00 0000 000</t>
  </si>
  <si>
    <t>Доходы от продажи материальных и нематериальных активов*</t>
  </si>
  <si>
    <t>1 16 00000 00 0000 000</t>
  </si>
  <si>
    <t>Штрафы, санкции, возмещение ущерба*</t>
  </si>
  <si>
    <t>Иные межбюджетные трансферты*</t>
  </si>
  <si>
    <t>Всего доходов</t>
  </si>
  <si>
    <t>Распределение бюджетных ассигнований по разделам и подразделам</t>
  </si>
  <si>
    <t>№ п/п</t>
  </si>
  <si>
    <t>Всего расходов</t>
  </si>
  <si>
    <t>в том числе:</t>
  </si>
  <si>
    <t>0100</t>
  </si>
  <si>
    <t>0102</t>
  </si>
  <si>
    <t xml:space="preserve">Функционирование высшего должностного лица субъекта Российской Федерации и муниципального образования   </t>
  </si>
  <si>
    <t>0104</t>
  </si>
  <si>
    <t>0106</t>
  </si>
  <si>
    <t>0111</t>
  </si>
  <si>
    <t>0113</t>
  </si>
  <si>
    <t>0300</t>
  </si>
  <si>
    <t>0314</t>
  </si>
  <si>
    <t>0400</t>
  </si>
  <si>
    <t>0405</t>
  </si>
  <si>
    <t>0409</t>
  </si>
  <si>
    <t>0412</t>
  </si>
  <si>
    <t>0500</t>
  </si>
  <si>
    <t>Жилищно-коммунальное хозяйство</t>
  </si>
  <si>
    <t>0700</t>
  </si>
  <si>
    <t>Образование</t>
  </si>
  <si>
    <t>0701</t>
  </si>
  <si>
    <t>Дошкольное образование</t>
  </si>
  <si>
    <t>0702</t>
  </si>
  <si>
    <t>Общее образование</t>
  </si>
  <si>
    <t>0707</t>
  </si>
  <si>
    <t>0709</t>
  </si>
  <si>
    <t>Другие вопросы в области образования</t>
  </si>
  <si>
    <t>0800</t>
  </si>
  <si>
    <t>Культура, кинематография</t>
  </si>
  <si>
    <t>0801</t>
  </si>
  <si>
    <t>Культура</t>
  </si>
  <si>
    <t>0804</t>
  </si>
  <si>
    <t>Другие вопросы в области культуры, кинематографии</t>
  </si>
  <si>
    <t>Охрана семьи и детства</t>
  </si>
  <si>
    <t>Другие вопросы в области социальной политики</t>
  </si>
  <si>
    <t xml:space="preserve">Физическая культура и спорт </t>
  </si>
  <si>
    <t>1102</t>
  </si>
  <si>
    <t>Массовый спорт</t>
  </si>
  <si>
    <t>1105</t>
  </si>
  <si>
    <t>Другие вопросы в области физической культуры и спорта</t>
  </si>
  <si>
    <t xml:space="preserve">Межбюджетные трансферты общего характера бюджетам бюджетной системы Российской Федерации </t>
  </si>
  <si>
    <t>Дотации на выравнивание бюджетной обеспеченности субъектов Российской Федерации и муниципальных образований</t>
  </si>
  <si>
    <t>ВСЕГО</t>
  </si>
  <si>
    <t>Капитальные вложения в объекты государственной (муниципальной) собственности</t>
  </si>
  <si>
    <t>400</t>
  </si>
  <si>
    <t>Муниципальная программа муниципального образования Апшеронский район "Развитие образования"</t>
  </si>
  <si>
    <t>Развитие дошкольного и общего образования детей</t>
  </si>
  <si>
    <t>Мероприятия по повышению уровня безопасности  муниципальных образовательных учреждений</t>
  </si>
  <si>
    <t>Реализация мероприятий муниципальной программы "Развитие образования"</t>
  </si>
  <si>
    <t>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t>
  </si>
  <si>
    <t>Развитие дополнительного образования детей</t>
  </si>
  <si>
    <t>Стипендии главы муниципального образования Апшеронский район для одаренных детей</t>
  </si>
  <si>
    <t>Обеспечение реализации муниципальной программы и прочие мероприятия в области образования</t>
  </si>
  <si>
    <t>Муниципальная программа муниципального образования Апшеронский район "Развитие культуры"</t>
  </si>
  <si>
    <t>Совершенствование деятельности муниципальных учреждений отрасли "Культура и искусство" по предоставлению муниципальных услуг</t>
  </si>
  <si>
    <t>Обеспечение реализации муниципальной программы и прочие мероприятия в сфере культуры и искусства</t>
  </si>
  <si>
    <t>Муниципальная программа муниципального образования Апшеронский район "Развитие физической культуры и спорта"</t>
  </si>
  <si>
    <t>Развитие физической культуры и массового спорта</t>
  </si>
  <si>
    <t>Реализация мероприятий муниципальной программы "Развитие физической культуры и спорта"</t>
  </si>
  <si>
    <t>Управление реализацией муниципальной программы</t>
  </si>
  <si>
    <t>Муниципальная программа муниципального образования Апшеронский район "Развитие молодежной политики"</t>
  </si>
  <si>
    <t>Молодежь Апшеронского района</t>
  </si>
  <si>
    <t>Муниципальная программа муниципального образования Апшеронский район "Управление муниципальными финансами"</t>
  </si>
  <si>
    <t>07</t>
  </si>
  <si>
    <t>Муниципальная программа муниципального образования Апшеронский район "Управление муниципальным имуществом"</t>
  </si>
  <si>
    <t>08</t>
  </si>
  <si>
    <t>Повышение эффективности управления муниципальным имуществом и приватизации</t>
  </si>
  <si>
    <t>Оценка недвижимости, признание прав и регулирование отношений по муниципальной собственности</t>
  </si>
  <si>
    <t>Управление реализацией муниципальной программы и прочие мероприятия</t>
  </si>
  <si>
    <t xml:space="preserve">Муниципальная программа муниципального образования Апшеронский район "Социальная поддержка граждан" </t>
  </si>
  <si>
    <t>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t>
  </si>
  <si>
    <t>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</si>
  <si>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Муниципальная программа муниципального образования Апшеронский район "Доступная среда"</t>
  </si>
  <si>
    <t>20</t>
  </si>
  <si>
    <t>Реализация мероприятий муниципальной программы "Доступная среда"</t>
  </si>
  <si>
    <t>Осуществление внешнего муниципального финансового контроля</t>
  </si>
  <si>
    <t>программы</t>
  </si>
  <si>
    <t>непрограммные</t>
  </si>
  <si>
    <t>(тыс.рублей)</t>
  </si>
  <si>
    <t>000 01 00 00 00 00 0000 000</t>
  </si>
  <si>
    <t>Источники внутреннего финансирования дефицитов бюджетов, всего</t>
  </si>
  <si>
    <t>000 01 05 00 00 00 0000 000</t>
  </si>
  <si>
    <t>Изменение остатков средств на счетах по учету средств бюджетов</t>
  </si>
  <si>
    <t>000 01 05 00 00 00 0000 500</t>
  </si>
  <si>
    <t>Увеличение остатков средств бюджетов</t>
  </si>
  <si>
    <t>000 01 05 02 00 00 0000 500</t>
  </si>
  <si>
    <t>Увеличение прочих остатков средств бюджетов</t>
  </si>
  <si>
    <t>Увеличение прочих остатков денежных средств бюджетов</t>
  </si>
  <si>
    <t>000 01 05 02 01 05 0000 510</t>
  </si>
  <si>
    <t>000 01 05 00 00 00 0000 600</t>
  </si>
  <si>
    <t>Уменьшение остатков средств бюджетов</t>
  </si>
  <si>
    <t>000 01 05 02 00 00 0000 600</t>
  </si>
  <si>
    <t>Уменьшение прочих остатков средств бюджетов</t>
  </si>
  <si>
    <t>000 01 05 02 01 00 0000 610</t>
  </si>
  <si>
    <t>Уменьшение прочих остатков денежных средств бюджетов</t>
  </si>
  <si>
    <t>000 01 05 02 01 05 0000 610</t>
  </si>
  <si>
    <t xml:space="preserve"> (тыс.рублей)</t>
  </si>
  <si>
    <t>№                п/п</t>
  </si>
  <si>
    <t>1.</t>
  </si>
  <si>
    <t>Кабардинское сельское поселение</t>
  </si>
  <si>
    <t>Кубанское сельское поселение</t>
  </si>
  <si>
    <t>Куринское сельское поселение</t>
  </si>
  <si>
    <t>Нижегородское сельское поселение</t>
  </si>
  <si>
    <t>Новополянское сельское поселение</t>
  </si>
  <si>
    <t>Отдаленное сельское поселение</t>
  </si>
  <si>
    <t>Тверское сельское поселение</t>
  </si>
  <si>
    <t>Черниговское сельское поселение</t>
  </si>
  <si>
    <t>Объем</t>
  </si>
  <si>
    <t>погашение основной суммы долга</t>
  </si>
  <si>
    <t xml:space="preserve">Программа муниципальных гарантий муниципального образования Апшеронский район  </t>
  </si>
  <si>
    <t>Объем гарантий,  тыс.рублей</t>
  </si>
  <si>
    <t>иные условия</t>
  </si>
  <si>
    <t xml:space="preserve"> -</t>
  </si>
  <si>
    <t>Наименование межбюджетных трансфертов</t>
  </si>
  <si>
    <t>Дотации на выравнивание бюджетной обеспеченности поселений</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</si>
  <si>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</si>
  <si>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из них:</t>
  </si>
  <si>
    <t xml:space="preserve">субвенции на 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 </t>
  </si>
  <si>
    <t>муниципальные дошкольные образовательные организации</t>
  </si>
  <si>
    <t>муниципальные общеобразовательные организации</t>
  </si>
  <si>
    <t>субвенции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</si>
  <si>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60070</t>
  </si>
  <si>
    <t>Оказание финансовой поддержки социально ориентированным некоммерческим организациям</t>
  </si>
  <si>
    <t>Содействие развитию дошкольного образования</t>
  </si>
  <si>
    <t>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</si>
  <si>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60820</t>
  </si>
  <si>
    <t>60860</t>
  </si>
  <si>
    <t>Обеспечение мероприятий по противодействию терроризму и экстремизму</t>
  </si>
  <si>
    <t>Содействие развитию общего образования</t>
  </si>
  <si>
    <t>10200</t>
  </si>
  <si>
    <t>10210</t>
  </si>
  <si>
    <t>62370</t>
  </si>
  <si>
    <t>Содействие развитию дополнительного образования детей</t>
  </si>
  <si>
    <t>Выявление и поддержка одаренных детей</t>
  </si>
  <si>
    <t xml:space="preserve">Стипендии главы муниципального образования Апшеронский район для одаренных детей </t>
  </si>
  <si>
    <t>00300</t>
  </si>
  <si>
    <t>12100</t>
  </si>
  <si>
    <t>Создание условий для полноценного и безопасного отдыха детей в каникулярное время</t>
  </si>
  <si>
    <t>Совершенствование управления реализацией Программы</t>
  </si>
  <si>
    <t>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</si>
  <si>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60710</t>
  </si>
  <si>
    <t>Совершенствование социальной поддержки семьи и детей</t>
  </si>
  <si>
    <t>934</t>
  </si>
  <si>
    <t>Развитие и реализация потенциала молодежи в интересах Кубани, формирование благоприятной среды, обеспечивающей всестороннее развитие личности</t>
  </si>
  <si>
    <t xml:space="preserve">Реализация мероприятий муниципальной программы "Развитие молодежной политики" </t>
  </si>
  <si>
    <t>10500</t>
  </si>
  <si>
    <t>929</t>
  </si>
  <si>
    <t>Формирование здорового образа жизни и гармоничное воспитание здорового,  физически крепкого поколения</t>
  </si>
  <si>
    <t>10400</t>
  </si>
  <si>
    <t xml:space="preserve">Массовый спорт </t>
  </si>
  <si>
    <t>953</t>
  </si>
  <si>
    <t>Муниципальная программа муниципального образования Апшеронский район "Социальная поддержка граждан"</t>
  </si>
  <si>
    <t>Другие вопросы в области социальной политики</t>
  </si>
  <si>
    <t>Создание условий для эффективного управления и распоряжения муниципальным имуществом Апшеронского района в целях увеличения доходной части бюджета муниципального образования</t>
  </si>
  <si>
    <t>10800</t>
  </si>
  <si>
    <t>Повышение эффективности осуществления закупок товаров, работ, услуг для муниципальных нужд и нужд бюджетных учреждений муниципального образования</t>
  </si>
  <si>
    <t>Государственная поддержка решения жилищной проблемы детей-сирот и детей, оставшихся без попечения родителей, лиц из числа детей-сирот и детей, оставшихся без попечения родителей</t>
  </si>
  <si>
    <t>Создание условий для эффективного управления в сфере развития системы управления муниципальным имуществом, находящимся в муниципальной собственности</t>
  </si>
  <si>
    <t>905</t>
  </si>
  <si>
    <t>Создание условий для эффективного и ответственного управления муниципальными финансами</t>
  </si>
  <si>
    <t xml:space="preserve">Выравнивание финансовых возможностей бюджетов </t>
  </si>
  <si>
    <t>Прочие субсидии</t>
  </si>
  <si>
    <t>Субсидии бюджетам бюджетной системы Российской Федерации (межбюджетные субсидии)*</t>
  </si>
  <si>
    <t>Создание условий для развития санаторно-курортного и туристского комплекса муниципального образования Апшеронский район</t>
  </si>
  <si>
    <t>1 11 05075 05 0000 120</t>
  </si>
  <si>
    <t>1 05 01000 00 0000 110</t>
  </si>
  <si>
    <t>Налог, взимаемый в связи с применением упрощенной системы налогообложения*</t>
  </si>
  <si>
    <t>Безвозмездные поступления</t>
  </si>
  <si>
    <t xml:space="preserve">* По видам и подвидам доходов, входящим в соответствующий группировочный код бюджетной классификации, зачисляемым в районный бюджет в соответствии с законодательством Российской Федерации.   </t>
  </si>
  <si>
    <t>Всего</t>
  </si>
  <si>
    <t xml:space="preserve">Апшеронское городское поселение </t>
  </si>
  <si>
    <t xml:space="preserve">Нефтегорское городское поселение </t>
  </si>
  <si>
    <t>Хадыженское городское поселение</t>
  </si>
  <si>
    <t xml:space="preserve">Кабардинское сельское поселение </t>
  </si>
  <si>
    <t xml:space="preserve">Куринское сельское поселение </t>
  </si>
  <si>
    <t>Мезмайское сельское поселение</t>
  </si>
  <si>
    <t>926</t>
  </si>
  <si>
    <t>Реализация мероприятий муниципальной программы  "Развитие культуры"</t>
  </si>
  <si>
    <t>10300</t>
  </si>
  <si>
    <t>Содействие развитию библиотечного дела</t>
  </si>
  <si>
    <t>20020</t>
  </si>
  <si>
    <t>Содействие развитию культурно-досуговых организаций</t>
  </si>
  <si>
    <t>Организация, проведение и участие в конкурсах, фестивалях, концертах, выставках, приемах, конференциях, форумах, акциях, праздниках, семинарах, экспедициях в рамках их организации и поддержки</t>
  </si>
  <si>
    <t xml:space="preserve">Другие вопросы в области культуры, кинематографии </t>
  </si>
  <si>
    <t>Физическая культура и спорт</t>
  </si>
  <si>
    <t>Обеспечение деятельности  муниципального казенного учреждения "Ситуационный центр "Комплексное обеспечение безопасности жизнедеятельности"</t>
  </si>
  <si>
    <t>Рз,Пр</t>
  </si>
  <si>
    <t>000 01 05 02 01 00 0000 510</t>
  </si>
  <si>
    <t>Сохранение и развитие традиционной народной культуры муниципального образования</t>
  </si>
  <si>
    <t xml:space="preserve">Сохранение и развитие традиционной народной культуры муниципального образования </t>
  </si>
  <si>
    <t>Единый налог на вмененный доход для отдельных видов деятельности</t>
  </si>
  <si>
    <t>10670</t>
  </si>
  <si>
    <t>10680</t>
  </si>
  <si>
    <t>Реализация полномочий в области строительства, архитектуры и градостроительства</t>
  </si>
  <si>
    <t xml:space="preserve">Муниципальная программа муниципального образования Апшеронский район "Развитие топливно-энергетического комплекса и жилищно-коммунального хозяйства" </t>
  </si>
  <si>
    <t>Коммунальное хозяйство</t>
  </si>
  <si>
    <t>Газификация населенных пунктов поселений муниципального образования Апшеронский район</t>
  </si>
  <si>
    <t>0502</t>
  </si>
  <si>
    <t>10820</t>
  </si>
  <si>
    <t>Выполнение других обязательств муниципального образования</t>
  </si>
  <si>
    <t>Содержание имущества, находящегося в муниципальной казне</t>
  </si>
  <si>
    <t>Основные мероприятия муниципальной программы</t>
  </si>
  <si>
    <t xml:space="preserve">Дотации бюджетам бюджетной системы Российской Федерации </t>
  </si>
  <si>
    <t>Субвенции бюджетам бюджетной системы Российской Федерации</t>
  </si>
  <si>
    <t>Субвенции бюджетам бюджетной системы Российской Федерации*</t>
  </si>
  <si>
    <t xml:space="preserve">Дотации бюджетам бюджетной системы Российской Федерации* </t>
  </si>
  <si>
    <t>субвенции на 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</si>
  <si>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</si>
  <si>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62500</t>
  </si>
  <si>
    <t>1 11 09045 05 0000 120</t>
  </si>
  <si>
    <t>0703</t>
  </si>
  <si>
    <t>Дополнительное образование детей</t>
  </si>
  <si>
    <t xml:space="preserve">Молодежная политика </t>
  </si>
  <si>
    <t>Информатизация деятельности органов местного самоуправления</t>
  </si>
  <si>
    <t>Мероприятия по информатизации администрации муниципального образования, ее отраслевых (функциональных) органов</t>
  </si>
  <si>
    <t>11840</t>
  </si>
  <si>
    <t>Обеспечение информационной открытости и доступности информации о деятельности органов местного самоуправления</t>
  </si>
  <si>
    <t>Пенсионное обеспечение</t>
  </si>
  <si>
    <t>11850</t>
  </si>
  <si>
    <t>Осуществление отдельных государственных полномочий по выплате ежемесячных денежных средств на содержание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t>
  </si>
  <si>
    <t>Осуществление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t>
  </si>
  <si>
    <t>Осуществление отдельных государственных полномочий по выплате ежемесячных денежных средств на содержание детей, нуждающихся в особой заботе государства, переданных на патронатное воспитание</t>
  </si>
  <si>
    <t>Физическая культура</t>
  </si>
  <si>
    <t>Содействие развитию спортивных организаций</t>
  </si>
  <si>
    <t>Условно утвержденные расходы</t>
  </si>
  <si>
    <t>% УУР</t>
  </si>
  <si>
    <t>УУР</t>
  </si>
  <si>
    <t>Осуществление отдельных государственных полномочий по выплате ежемесячного вознаграждения, причитающегося патронатным воспитателям за оказание услуг по осуществлению патронатного воспитания и постинтернатного сопровождения</t>
  </si>
  <si>
    <t>Вид заимствований</t>
  </si>
  <si>
    <t>аппарат соцсферы</t>
  </si>
  <si>
    <t>соцкультсфера (без аппарата)</t>
  </si>
  <si>
    <t>Система комплексного обеспечения безопасности жизнедеятельности муниципального образования. Построение и развитие АПК "Безопасный город"</t>
  </si>
  <si>
    <t>Субсидии бюджетам бюджетной системы Российской Федерации (межбюджетные субсидии)</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</si>
  <si>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</si>
  <si>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10810</t>
  </si>
  <si>
    <t>Мероприятия по землеустройству и землепользованию</t>
  </si>
  <si>
    <t>Обеспечение строительства газопроводов на территории муниципального образования Апшеронский район</t>
  </si>
  <si>
    <t>Прочие обязательства муниципального образования</t>
  </si>
  <si>
    <t>Начальник Финансового управления</t>
  </si>
  <si>
    <t xml:space="preserve">администрации муниципального образования </t>
  </si>
  <si>
    <t>Апшеронский район</t>
  </si>
  <si>
    <t>РУО</t>
  </si>
  <si>
    <t>11880</t>
  </si>
  <si>
    <t>Материально-техническое обеспечение деятельности органов местного самоуправления муниципального образования</t>
  </si>
  <si>
    <t>09020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</si>
  <si>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</si>
  <si>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на осуществление отдельных государственных полномочий по обеспечению жилыми помещениями детей-сирот и детей, оставшихся без попечения родителей, лиц из числа детей-сирот и детей, оставшихся без попечения родителей, в соответствии с Законом Краснодарского края "Об обеспечении дополнительных гарантий прав на имущество и жилое помещение детей-сирот и детей, оставшихся без попечения родителей, в Краснодарском крае"</t>
  </si>
  <si>
    <t>Судебная система</t>
  </si>
  <si>
    <t>51200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</si>
  <si>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</si>
  <si>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1 13 00000 00 0000 000</t>
  </si>
  <si>
    <t>О.В.Чуйко</t>
  </si>
  <si>
    <t>0105</t>
  </si>
  <si>
    <t>60740</t>
  </si>
  <si>
    <t>2 02 29999 05 0000 150</t>
  </si>
  <si>
    <t>2 02 30024 05 0000 150</t>
  </si>
  <si>
    <t>2 02 35120 05 0000 150</t>
  </si>
  <si>
    <t>2 02 15001 05 0000 150</t>
  </si>
  <si>
    <t>2 02 40014 05 0000 150</t>
  </si>
  <si>
    <t>2 02 30029 05 0000 150</t>
  </si>
  <si>
    <t>2 02 10000 00 0000 150</t>
  </si>
  <si>
    <t>2 02 15001 00 0000 150</t>
  </si>
  <si>
    <t>2 02 20000 00 0000 150</t>
  </si>
  <si>
    <t>2 02 29999 00 0000 150</t>
  </si>
  <si>
    <t>2 02 30000 00 0000 150</t>
  </si>
  <si>
    <t>2 02 30024 00 0000 150</t>
  </si>
  <si>
    <t>2 02 30029 00 0000 150</t>
  </si>
  <si>
    <t>2 02 35120 00 0000 150</t>
  </si>
  <si>
    <t>Доходы от оказания платных услуг и компенсации затрат государства*</t>
  </si>
  <si>
    <t>10700</t>
  </si>
  <si>
    <t>2 02 40000 00 0000 150</t>
  </si>
  <si>
    <t>субсидии на обеспечение условий для развития физической культуры и массового спорта в части оплаты труда инструкторов по спорту</t>
  </si>
  <si>
    <t>Осуществление отдельных государственных полномочий Краснодарского края по поддержке сельскохозяйственного производства</t>
  </si>
  <si>
    <t>S2820</t>
  </si>
  <si>
    <t>Совершенствование спортивной инфраструктуры и материально-технической базы для занятий физической культурой и массовым спортом</t>
  </si>
  <si>
    <t>S0560</t>
  </si>
  <si>
    <t>921</t>
  </si>
  <si>
    <t>S0620</t>
  </si>
  <si>
    <t>2 02 20077 05 0000 150</t>
  </si>
  <si>
    <t>Субсидии бюджетам муниципальных районов на софинансирование капитальных вложений в объекты муниципальной собственности</t>
  </si>
  <si>
    <t>2 02 20077 00 0000 150</t>
  </si>
  <si>
    <t>Субсидии бюджетам на софинансирование капитальных вложений в объекты муниципальной собственности</t>
  </si>
  <si>
    <t>субвенции на 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физкультурно-спортивных организаций отрасли "Физическая культура и спорт" и муниципальных организаций дополнительного образования, реализующих дополнительные общеобразовательные программы в области физической культуры и спорта, отрасли "Образование"</t>
  </si>
  <si>
    <t>субвенции на осуществление отдельных государственных полномочий Краснодарского края по поддержке сельскохозяйственного производства</t>
  </si>
  <si>
    <t>муниципальные дошкольные образовательные организации, общеобразовательные организации, организации дополнительного   образования (в области образования)</t>
  </si>
  <si>
    <t>925</t>
  </si>
  <si>
    <t>Нефтегорское городское поселение</t>
  </si>
  <si>
    <t>1 06 02000 02 0000 110</t>
  </si>
  <si>
    <t>Налог на имущество организаций*</t>
  </si>
  <si>
    <t xml:space="preserve">Программа муниципальных внутренних заимствований муниципального </t>
  </si>
  <si>
    <t>Дотации бюджетам муниципальных районов на выравнивание бюджетной обеспеченности из бюджета субъекта Российской Федерации</t>
  </si>
  <si>
    <t>Иные межбюджетные трансферты бюджетам бюджетной системы Российской Федерации</t>
  </si>
  <si>
    <t>Иные межбюджетные трансферты</t>
  </si>
  <si>
    <t xml:space="preserve">2 02 40014 00 0000 150 </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</si>
  <si>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</si>
  <si>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Осуществление отдельных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указанной государственной итоговой аттестации,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t>
  </si>
  <si>
    <t xml:space="preserve">Осуществление отдельных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указанной государственной итоговой аттестации,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t>
  </si>
  <si>
    <t>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физкультурно-спортивных организаций отрасли "Физическая культура и спорт" и муниципальных организаций дополнительного образования, реализующих дополнительные общеобразовательные программы в области физической культуры и спорта, отрасли "Образование"</t>
  </si>
  <si>
    <t>Муниципальная программа муниципального образования Апшеронский район «Развитие образования»</t>
  </si>
  <si>
    <t>Наименование принципала</t>
  </si>
  <si>
    <t>наличие права регрессного требования гаранта к принципалу</t>
  </si>
  <si>
    <t>Обеспечение условий для развития физической культуры и массового спорта в части оплаты труда инструкторов по спорту</t>
  </si>
  <si>
    <t>63110</t>
  </si>
  <si>
    <t>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</si>
  <si>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субвенции на 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</si>
  <si>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 xml:space="preserve"> </t>
  </si>
  <si>
    <t xml:space="preserve">Выплата пенсии за выслугу лет лицам, замещавшим муниципальные должности и должности муниципальной службы в органах местного самоуправления </t>
  </si>
  <si>
    <t>Резервный фонд администрации муниципального образования</t>
  </si>
  <si>
    <t>Непрограммные расходы органов местного самоуправления</t>
  </si>
  <si>
    <t>Непрограммные расходы</t>
  </si>
  <si>
    <t>Меры государственной поддержки лиц, замещавших муниципальные должности и должности муниципальной службы муниципального образования Апшеронский район</t>
  </si>
  <si>
    <t>Меры государственной поддержки лиц, замещавших муниципальные должности и  должности муниципальной службы муниципального образования Апшеронский район</t>
  </si>
  <si>
    <t xml:space="preserve">Непрограммные расходы органов 
местного самоуправления
</t>
  </si>
  <si>
    <t>Мероприятия по предупреждению и ликвидации чрезвычайных ситуаций</t>
  </si>
  <si>
    <t>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детей-сирот и детей, оставшихся без попечения родителей, лиц из числа детей-сирот и детей, оставшихся без попечения родителей, лиц, относившихся к категории детей-сирот и детей, оставшихся без попечения родителей, подлежащих обеспечению жилыми помещениями</t>
  </si>
  <si>
    <t>2 02 25304 05 0000 150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</si>
  <si>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</si>
  <si>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L3040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</si>
  <si>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</si>
  <si>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</si>
  <si>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t>
  </si>
  <si>
    <t>Осуществление отдельных государственных полномочий Краснодарского края по организации и обеспечению отдыха и оздоровления детей (за исключением организации отдыха детей в каникулярное время)</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</si>
  <si>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</si>
  <si>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0310</t>
  </si>
  <si>
    <t>Защита населения и территории от чрезвычайных ситуаций природного и техногенного характера, пожарная безопасность</t>
  </si>
  <si>
    <t>субсидии на организацию газоснабжения населения (поселений) (строительство подводящих газопроводов, 
распределительных газопроводов)</t>
  </si>
  <si>
    <t>Расходы на обеспечение деятельности (оказание услуг) муниципальных учреждений</t>
  </si>
  <si>
    <t>Осуществление капитального ремонта</t>
  </si>
  <si>
    <t>Мероприятия по пожарной безопасности</t>
  </si>
  <si>
    <t>10640</t>
  </si>
  <si>
    <t>Пожарная безопасность в органах местного самоуправления</t>
  </si>
  <si>
    <t>00400</t>
  </si>
  <si>
    <t>Мероприятия по организации отдыха детей в каникулярное время</t>
  </si>
  <si>
    <t>Профилактика терроризма и экстремизма в органах местного самоуправления</t>
  </si>
  <si>
    <t xml:space="preserve">Мероприятия по информатизации администрации муниципального образования, ее отраслевых (функциональных) органов </t>
  </si>
  <si>
    <t xml:space="preserve">Мероприятия по пожарной безопасности </t>
  </si>
  <si>
    <t xml:space="preserve">Доходы от уплаты акцизов на дизельное топливо, моторные масла для дизельных и (или) карбюраторных (инжекторных) двигателей,  автомобильный бензин,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t>
  </si>
  <si>
    <t>Бюджетные кредиты,  привлеченные в бюджет  муниципального образования  Апшеронский район из других  бюджетов бюджетной системы Российской Федерации, всего</t>
  </si>
  <si>
    <t>привлечение (предельный срок погашения - до 10 лет)</t>
  </si>
  <si>
    <t>предоставление обеспечения исполнения обязательств принципала по удовлетворению регрессного требования гаранта к принципалу</t>
  </si>
  <si>
    <t>Условия предоставления и исполнения гарантий</t>
  </si>
  <si>
    <t xml:space="preserve">Программа муниципальных внешних заимствований муниципального </t>
  </si>
  <si>
    <t>Бюджетные кредиты,  привлеченные в бюджет  муниципального образования  Апшеронский район от Российской Федерации в иностранной валюте в рамках использования целевых иностранных кредитов</t>
  </si>
  <si>
    <t>Объем гарантий</t>
  </si>
  <si>
    <t>Наименование кода группы, подгруппы, статьи, элемента, подвида, аналитической группы вида источников финансирования дефицитов бюджетов</t>
  </si>
  <si>
    <t>субвенции на осуществление отдельных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государственной итоговой аттестации по образовательным программам основного общего и среднего общего образования, компенсации за работу по подготовке и проведению указанной государственной итоговой аттестации</t>
  </si>
  <si>
    <t>Укрепление правопорядка, профилактика правонарушений, усиление борьбы с преступностью в муниципальном образовании</t>
  </si>
  <si>
    <t>Повышение эффективности мер, принимаемых для охраны общественного порядка и профилактики правонарушений  в муниципальном образовании</t>
  </si>
  <si>
    <t>1 11 00000 00 0000 000</t>
  </si>
  <si>
    <t>Доходы от использования имущества, находящегося в государственной и муниципальной собственности*, в том числе:</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</si>
  <si>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</si>
  <si>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</si>
  <si>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от сдачи в аренду имущества, составляющего казну муниципальных районов (за исключением земельных участков)</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</si>
  <si>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</si>
  <si>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Организация газоснабжения населения (поселений) (строительство подводящих газопроводов, распределительных газопроводов)</t>
  </si>
  <si>
    <t>S0470</t>
  </si>
  <si>
    <t>2024 год</t>
  </si>
  <si>
    <t xml:space="preserve">Исполнение муниципальных гарантий муниципального образования Апшеронский район </t>
  </si>
  <si>
    <t>Объем бюджетных ассигнований, тыс. рублей</t>
  </si>
  <si>
    <t>Объем бюджетных ассигнований</t>
  </si>
  <si>
    <t>субвенции на 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t>
  </si>
  <si>
    <t>2 02 35303 00 0000 150</t>
  </si>
  <si>
    <t>2 02 35303 05 0000 150</t>
  </si>
  <si>
    <t>ксп</t>
  </si>
  <si>
    <t>Ок</t>
  </si>
  <si>
    <t xml:space="preserve">                                Приложение 1 к решению Совета муниципального образования</t>
  </si>
  <si>
    <t xml:space="preserve">                                Приложение 2 к решению Совета муниципального образования</t>
  </si>
  <si>
    <t xml:space="preserve">                                Приложение 3 к решению Совета муниципального образования</t>
  </si>
  <si>
    <t xml:space="preserve">                                Приложение 4 к решению Совета муниципального образования</t>
  </si>
  <si>
    <t xml:space="preserve">                                Приложение 6 к решению Совета муниципального образования</t>
  </si>
  <si>
    <t xml:space="preserve">                                Приложение 7 к решению Совета муниципального образования</t>
  </si>
  <si>
    <t xml:space="preserve">                                Приложение 8 к решению Совета муниципального образования</t>
  </si>
  <si>
    <t xml:space="preserve">                                Приложение 9 к решению Совета муниципального образования</t>
  </si>
  <si>
    <t>Мероприятия по профилактике детского дорожно-транспортного травматизма в муниципальных образовательных учреждениях</t>
  </si>
  <si>
    <t>10220</t>
  </si>
  <si>
    <t xml:space="preserve">                                Приложение 16 к решению Совета муниципального образования</t>
  </si>
  <si>
    <t>Муниципальные ценные бумаги  муниципального образования  Апшеронский район, всего</t>
  </si>
  <si>
    <t>2.</t>
  </si>
  <si>
    <t>3.</t>
  </si>
  <si>
    <t>Кредиты,  привлеченные в бюджет  муниципального образования  Апшеронский район от кредитных организаций, всего</t>
  </si>
  <si>
    <t>За счет расходов и (или) источников финансирования дефицита районного бюджета, всего</t>
  </si>
  <si>
    <t>________________________</t>
  </si>
  <si>
    <t>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t>
  </si>
  <si>
    <t>0705</t>
  </si>
  <si>
    <t>Профессиональная подготовка, переподготовка и повышение квалификации</t>
  </si>
  <si>
    <t>10240</t>
  </si>
  <si>
    <t>Мероприятия по переподготовке и повышению квалификации кадров</t>
  </si>
  <si>
    <t>69200</t>
  </si>
  <si>
    <t>69180</t>
  </si>
  <si>
    <t>69190</t>
  </si>
  <si>
    <t>69100</t>
  </si>
  <si>
    <t>69130</t>
  </si>
  <si>
    <t>69110</t>
  </si>
  <si>
    <t>69140</t>
  </si>
  <si>
    <t>69170</t>
  </si>
  <si>
    <t>S3550</t>
  </si>
  <si>
    <t>субвенции на 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</si>
  <si>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63540</t>
  </si>
  <si>
    <t>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</si>
  <si>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 xml:space="preserve">  Направление (цель)       гарантирования</t>
  </si>
  <si>
    <t>2 02 35082 00 0000 150</t>
  </si>
  <si>
    <t>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</si>
  <si>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2 02 35082 05 0000 150</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</si>
  <si>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</si>
  <si>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R0820</t>
  </si>
  <si>
    <t>Единая субвенция местным бюджетам из бюджета субъекта Российской Федерации</t>
  </si>
  <si>
    <t>2 02 36900 00 0000 150</t>
  </si>
  <si>
    <t>2 02 36900 05 0000 150</t>
  </si>
  <si>
    <t>Единая субвенция бюджетам муниципальных районов из бюджета субъекта Российской Федерации</t>
  </si>
  <si>
    <t xml:space="preserve">                                Приложение 13 к решению Совета муниципального образования</t>
  </si>
  <si>
    <t xml:space="preserve">                                Приложение 15 к решению Совета муниципального образования</t>
  </si>
  <si>
    <t>Содействие развитию физической культуры и спорта</t>
  </si>
  <si>
    <t>L5190</t>
  </si>
  <si>
    <t>Государственная поддержка отрасли культуры</t>
  </si>
  <si>
    <t>2 02 25519 05 0000 150</t>
  </si>
  <si>
    <t>2 02 25519 00 0000 150</t>
  </si>
  <si>
    <t>Субсидии бюджетам на поддержку отрасли культуры</t>
  </si>
  <si>
    <t>Субсидии бюджетам муниципальных районов на поддержку отрасли культуры</t>
  </si>
  <si>
    <t>субсидии на реализацию мероприятий по модернизации библиотек в части комплектования книжных фондов библиотек муниципальных образований Краснодарского края</t>
  </si>
  <si>
    <t>19</t>
  </si>
  <si>
    <t>2025 год</t>
  </si>
  <si>
    <t>Обеспечение деятельности  муниципального казенного учреждения муниципального образования Апшеронский район «Служба комплексного обеспечения деятельности органов местного самоуправления"</t>
  </si>
  <si>
    <t xml:space="preserve">                                Приложение 10 к решению Совета муниципального образования</t>
  </si>
  <si>
    <t xml:space="preserve">                                Приложение 12 к решению Совета муниципального образования</t>
  </si>
  <si>
    <t xml:space="preserve">                                Приложение 14 к решению Совета муниципального образования</t>
  </si>
  <si>
    <t>Непрограммные расходы органов 
местного самоуправления</t>
  </si>
  <si>
    <t>Прочие субсидии бюджетам муниципальных районов</t>
  </si>
  <si>
    <t>Субвенции бюджетам муниципальных районов на выполнение передаваемых полномочий субъектов Российской Федерации</t>
  </si>
  <si>
    <t>субвенции на 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детей-сирот и детей, оставшихся без попечения родителей, лиц из числа детей-сирот и детей, оставшихся без попечения родителей, лиц, относившихся к категории детей-сирот и детей, оставшихся без попечения родителей, подлежащих обеспечению жилыми помещениями</t>
  </si>
  <si>
    <t>Обращение с твердыми коммунальными отходами на территории сельских поселений Апшеронского района</t>
  </si>
  <si>
    <t>Обеспечение мероприятий в области обращения с твердыми коммунальными отходами</t>
  </si>
  <si>
    <t>Создание и содержание мест (площадок) накопления твердых коммунальных отходов</t>
  </si>
  <si>
    <t>11200</t>
  </si>
  <si>
    <t>Благоустройство</t>
  </si>
  <si>
    <t>Муниципальная программа муниципального образования Апшеронский район "Развитие топливно-энергетического комплекса и жилищно-коммунального хозяйства"</t>
  </si>
  <si>
    <t>0503</t>
  </si>
  <si>
    <t>000 01 06 00 00 00 0000 000</t>
  </si>
  <si>
    <t>Иные источники внутреннего финансирования дефицитов бюджетов</t>
  </si>
  <si>
    <t>000 01 06 05 00 00 0000 000</t>
  </si>
  <si>
    <t>Бюджетные кредиты, предоставленные внутри страны в валюте Российской Федерации</t>
  </si>
  <si>
    <t>000 01 06 05 00 00 0000 600</t>
  </si>
  <si>
    <t>Возврат бюджетных кредитов, предоставленных внутри страны в валюте Российской Федерации</t>
  </si>
  <si>
    <t>000 01 06 05 02 00 0000 600</t>
  </si>
  <si>
    <t>Возврат бюджетных кредитов, предоставленных другим бюджетам бюджетной системы Российской Федерации в валюте Российской Федерации</t>
  </si>
  <si>
    <t>000 01 06 05 02 05 0000 640</t>
  </si>
  <si>
    <t>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t>
  </si>
  <si>
    <t>Осуществление внутреннего муниципального финансового контроля</t>
  </si>
  <si>
    <t>Осуществление части полномочий по решению вопросов местного значения в соответствии с заключенными соглашениями</t>
  </si>
  <si>
    <t>20040</t>
  </si>
  <si>
    <t>Иные межбюджетные трансферты, передаваемые бюджетам сельских поселений Апшеронского района на осуществление части полномочий по решению вопросов местного значения</t>
  </si>
  <si>
    <t>Иные межбюджетные трансферты, передаваемые бюджету Апшеронского городского поселения Апшеронского района на осуществление части полномочий по созданию, содержанию и организации деятельности аварийно-спасательных служб и (или) аварийно-спасательных формирований на территории поселения</t>
  </si>
  <si>
    <t>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</si>
  <si>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</si>
  <si>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Спорт высших достижений</t>
  </si>
  <si>
    <t>1103</t>
  </si>
  <si>
    <t>субсидии на подготовку изменений в правила землепользования и застройки муниципальных образований Краснодарского края</t>
  </si>
  <si>
    <t>S2570</t>
  </si>
  <si>
    <t>Подготовка изменений в правила землепользования и застройки муниципальных образований Краснодарского края</t>
  </si>
  <si>
    <t xml:space="preserve">cубсидии на капитальный ремонт муниципальных спортивных объектов в целях обеспечения условий для занятий физической культурой и массовым спортом в муниципальном образовании </t>
  </si>
  <si>
    <t>S0340</t>
  </si>
  <si>
    <t>Капитальный ремонт муниципальных спортивных объектов в целях обеспечения условий для занятий физической культурой и массовым спортом в муниципальном образовании</t>
  </si>
  <si>
    <t>Проведение мероприятий по формированию в муниципальном образовании Апшеронский район сети образовательных организаций, в которых созданы условия для инклюзивного образования детей-инвалидов. Создание в муниципальных образовательных организациях условий для получения детьми-инвалидами качественного образования</t>
  </si>
  <si>
    <t>Объем поступлений доходов в районный бюджет по кодам видов (подвидов) доходов на 2024 год и плановый период 2025 и 2026 годов</t>
  </si>
  <si>
    <t>2026 год</t>
  </si>
  <si>
    <t>Безвозмездные поступления от других бюджетов бюджетной системы Российской Федерации в
 2025 и 2026 годах</t>
  </si>
  <si>
    <t>Безвозмездные поступления                                                                                                                     из бюджетов поселений на осуществление части полномочий                                                                                 по решению вопросов местного значения                                                                                                    в соответствии с заключенными соглашениями в 2024 году</t>
  </si>
  <si>
    <t>классификации расходов бюджетов на 2024 год и плановый период 2025 и 2026 годов</t>
  </si>
  <si>
    <t>Распределение бюджетных ассигнований по целевым статьям (муниципальным программам муниципального образования Апшеронский район и непрограммным направлениям деятельности),  группам видов расходов классификации расходов бюджетов на 2024 год</t>
  </si>
  <si>
    <t>Распределение бюджетных ассигнований по целевым статьям (муниципальным программам муниципального образования Апшеронский район и непрограммным направлениям деятельности),  группам видов расходов классификации расходов бюджетов                                                                                                                                                                                                                                                                                  на 2025 и 2026 годы</t>
  </si>
  <si>
    <t>Ведомственная структура расходов районного бюджета на 2024 год</t>
  </si>
  <si>
    <t>Ведомственная структура расходов районного бюджета на 2025 и 2026 годы</t>
  </si>
  <si>
    <t>Источники финансирования дефицита районного бюджета,                                                                                                                                                                                                                                                                перечень статей источников финансирования дефицитов бюджетов на 2024 год и плановый период 2025 и 2026 годов</t>
  </si>
  <si>
    <t xml:space="preserve">                                Приложение 11 к решению Совета муниципального образования</t>
  </si>
  <si>
    <t>Объем дотаций на выравнивание бюджетной обеспеченности поселений и их распределение между городскими, сельскими поселениями на 2024 год и плановый период 2025 и 2026 годов</t>
  </si>
  <si>
    <t>образования Апшеронский  район на 2024 год и плановый период 2025 и 2026 годов</t>
  </si>
  <si>
    <r>
      <t xml:space="preserve">Раздел 1. </t>
    </r>
    <r>
      <rPr>
        <sz val="14"/>
        <rFont val="Times New Roman"/>
        <family val="1"/>
        <charset val="204"/>
      </rPr>
      <t>Программа муниципальных внутренних заимствований муниципального образования Апшеронский район на 2024 год</t>
    </r>
  </si>
  <si>
    <r>
      <t xml:space="preserve">Раздел 2. </t>
    </r>
    <r>
      <rPr>
        <sz val="14"/>
        <rFont val="Times New Roman"/>
        <family val="1"/>
        <charset val="204"/>
      </rPr>
      <t>Программа муниципальных внутренних заимствований муниципального образования Апшеронский  район на 2025 и 2026 годы</t>
    </r>
  </si>
  <si>
    <t>в валюте Российской Федерации на 2024 год и плановый период 2025 и 2026 годов</t>
  </si>
  <si>
    <t>Раздел 1. Перечень подлежащих предоставлению муниципальных гарантий муниципального образования Апшеронский район в 2024 году и в плановом периоде 2025 и 2026 годов</t>
  </si>
  <si>
    <t>Раздел 2. Общий объем бюджетных ассигнований, предусмотренных на исполнение муниципальных гарантий муниципального образования Апшеронский район по возможным гарантийным случаям в 2024 году и в плановом периоде 2025 и 2026 годов</t>
  </si>
  <si>
    <r>
      <t xml:space="preserve">Раздел 1. </t>
    </r>
    <r>
      <rPr>
        <sz val="14"/>
        <rFont val="Times New Roman"/>
        <family val="1"/>
        <charset val="204"/>
      </rPr>
      <t>Программа муниципальных внешних заимствований муниципального образования Апшеронский район на 2024 год</t>
    </r>
  </si>
  <si>
    <r>
      <t xml:space="preserve">Раздел 2. </t>
    </r>
    <r>
      <rPr>
        <sz val="14"/>
        <rFont val="Times New Roman"/>
        <family val="1"/>
        <charset val="204"/>
      </rPr>
      <t>Программа муниципальных внешних заимствований муниципального образования Апшеронский  район на 2025 и 2026 годы</t>
    </r>
  </si>
  <si>
    <t>в иностранной валюте на 2024 год и плановый период 2025 и 2026 годов</t>
  </si>
  <si>
    <t>Содержание муниципального архива</t>
  </si>
  <si>
    <t>11860</t>
  </si>
  <si>
    <t>S0610</t>
  </si>
  <si>
    <t>000 01 03 00 00 00 0000 000</t>
  </si>
  <si>
    <t>000 01 03 01 00 00 0000 000</t>
  </si>
  <si>
    <t>Бюджетные кредиты из других бюджетов бюджетной системы Российской Федерации в валюте Российской Федерации</t>
  </si>
  <si>
    <t>000 01 03 01 00 00 0000 800</t>
  </si>
  <si>
    <t>Погашение бюджетных кредитов, полученных из других бюджетов бюджетной системы Российской Федерации в валюте Российской Федерации</t>
  </si>
  <si>
    <t>000 01 03 01 00 05 0000 810</t>
  </si>
  <si>
    <t>Погашение бюджетами муниципальных районов кредитов из других бюджетов бюджетной системы Российской Федерации в валюте Российской Федерации</t>
  </si>
  <si>
    <t>Безвозмездные поступления от других бюджетов бюджетной системы Российской Федерации в 2024 году</t>
  </si>
  <si>
    <t xml:space="preserve">                                Приложение 5 к решению Совета муниципального образования</t>
  </si>
  <si>
    <t>S0100</t>
  </si>
  <si>
    <t>Создание условий для организации досуга и обеспечения жителей поселения, городского округа услугами организаций культуры либо на создание условий для обеспечения поселений, входящих в состав муниципального района, услугами по организации досуга и услугами организаций культуры, а также на создание условий для развития местного традиционного народного художественного творчества, участие в сохранении, возрождении и развитии народных художественных промыслов в поселении, городском округе либо на создание условий для развития местного традиционного народного художественного творчества в поселениях, входящих в состав муниципального района</t>
  </si>
  <si>
    <t>Осуществление отдельного государственного полномочия Краснодарского края по формированию списков семей и граждан, жилые помещения которых утрачены, и (или) списков граждан, жилые помещения которых повреждены в результате чрезвычайных ситуаций природного и техногенного характера, а также в результате террористических актов и (или) при пресечении террористических актов правомерными действиями на территории Краснодарского края</t>
  </si>
  <si>
    <t>Обслуживание государственного (муниципального) долга</t>
  </si>
  <si>
    <t>Обслуживание государственного (муниципального) внутреннего долга</t>
  </si>
  <si>
    <t>Обеспечение своевременности и полноты исполнения долговых обязательств муниципального образования</t>
  </si>
  <si>
    <t>Процентные платежи по муниципальному долгу</t>
  </si>
  <si>
    <t>11810</t>
  </si>
  <si>
    <t>700</t>
  </si>
  <si>
    <t>1300</t>
  </si>
  <si>
    <t>1301</t>
  </si>
  <si>
    <t>Объем межбюджетных трансфертов, предоставляемых другим бюджетам бюджетной системы Российской Федерации, на 2024 год и плановый период 2025 и 2026 годов</t>
  </si>
  <si>
    <t>А0820</t>
  </si>
  <si>
    <t>до изменений (скрыть)</t>
  </si>
  <si>
    <t>изменения</t>
  </si>
  <si>
    <t>субсидии на ремонт и укрепление материально-технической базы, в том числе приобретение автотранспорта (автобусы, микроавтобусы), техническое оснащение муниципальных учреждений культуры и (или) детских музыкальных школ, художественных школ, школ искусств, домов детского творчества, функции и полномочия учредителя в отношении которых осуществляют органы местного самоуправления муниципальных образований Краснодарского края</t>
  </si>
  <si>
    <t>Функционирование Правительства Российской Федерации, высших исполнительных органов субъектов Российской Федерации, местных администраций</t>
  </si>
  <si>
    <t>S0640</t>
  </si>
  <si>
    <t>субвенции на осуществление отдельного государственного полномочия Краснодарского края по формированию списков семей и граждан, жилые помещения которых утрачены в результате чрезвычайных ситуаций природного и техногенного характера, а также в результате террористических актов и (или) при пресечении террористических актов правомерными действиями на территории Краснодарского края</t>
  </si>
  <si>
    <t xml:space="preserve">субвенции на осуществление отдельного государственного полномочия Краснодарского края по формированию списков семей и граждан, жилые помещения которых утрачены в результате чрезвычайных ситуаций природного и техногенного характера, а также в результате террористических актов и (или) при пресечении террористических актов правомерными действиями на территории Краснодарского края
</t>
  </si>
  <si>
    <t>Комплектование библиотечных фондов библиотек поселения</t>
  </si>
  <si>
    <t xml:space="preserve">субсидии на формирование и содержание муниципальных архивов </t>
  </si>
  <si>
    <t>субсидии на создание условий для организации досуга и обеспечения жителей поселения, городского округа услугами организаций культуры либо на создание условий для обеспечения поселений, входящих в состав муниципального района, услугами по организации досуга и услугами организаций культуры, а также на создание условий для развития местного традиционного народного художественного творчества, участие в сохранении, возрождении и развитии народных художественных промыслов в поселении, городском округе либо на создание условий для развития местного традиционного народного художественного творчества в поселениях, входящих в состав муниципального района</t>
  </si>
  <si>
    <t>Ремонт и укрепление материально-технической базы, в том числе приобретение автотранспорта (автобусы, микроавтобусы), техническое оснащение муниципальных учреждений культуры и (или) детских музыкальных школ, художественных школ, школ искусств, домов детского творчества, функции и полномочия учредителя в отношении которых осуществляют органы местного самоуправления муниципальных образований Краснодарского края</t>
  </si>
  <si>
    <t>Бюджетные кредиты из других бюджетов бюджетной системы Российской Федерации</t>
  </si>
  <si>
    <t>привлечение (предельный срок погашения - до 5 лет)</t>
  </si>
  <si>
    <t>Федеральный проект "Патриотическое воспитание граждан Российской Федерации"</t>
  </si>
  <si>
    <t>EB</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</si>
  <si>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</si>
  <si>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51790</t>
  </si>
  <si>
    <t>2 02 35179 00 0000 150</t>
  </si>
  <si>
    <t>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</si>
  <si>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2 02 35179 05 0000 150</t>
  </si>
  <si>
    <t>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</si>
  <si>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1 11 03050 05 0000 120</t>
  </si>
  <si>
    <t>проценты, полученные от предоставления бюджетных кредитов внутри страны за счет средств бюджетов муниципальных районов</t>
  </si>
  <si>
    <t>Обеспечение функционирования системы персонифицированного финансирования дополнительного образования детей</t>
  </si>
  <si>
    <t>10230</t>
  </si>
  <si>
    <t>Формирование и содержание муниципальных архивов</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</si>
  <si>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дополнительного образования в муниципальных образовательных организациях (проведение капитальных ремонтов зданий, помещений, сооружений, территорий, прилегающих к зданиям и сооружениям)</t>
  </si>
  <si>
    <t>с учетом изменений</t>
  </si>
  <si>
    <t>8</t>
  </si>
  <si>
    <t>Апшеронский район от 22.12.2023 № 225</t>
  </si>
  <si>
    <t>R3032</t>
  </si>
  <si>
    <t>18</t>
  </si>
  <si>
    <t>2 18 60010 05 0000 150</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</si>
  <si>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</si>
  <si>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2 19 60010 05 0000 150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</si>
  <si>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</si>
  <si>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ФУ 260</t>
  </si>
  <si>
    <t>921-2,9805</t>
  </si>
  <si>
    <t>УО 2458,32712</t>
  </si>
  <si>
    <t>2 18 05010 05 0000 150</t>
  </si>
  <si>
    <t>Доходы бюджетов муниципальных районов от возврата бюджетными учреждениями остатков субсидий прошлых лет</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</si>
  <si>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районов</t>
  </si>
  <si>
    <t>2 19 25304 05 0000 150</t>
  </si>
  <si>
    <t>Возврат остатков субсидий на реализацию мероприятий по модернизации школьных систем образования из бюджетов муниципальных районов</t>
  </si>
  <si>
    <t>2 19 25750 05 0000 150</t>
  </si>
  <si>
    <t>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муниципальных районов</t>
  </si>
  <si>
    <t>2 19 35303 05 0000 150</t>
  </si>
  <si>
    <t>2 02 49999 05 0000 150</t>
  </si>
  <si>
    <t>Прочие межбюджетные трансферты, передаваемые бюджетам муниципальных районов</t>
  </si>
  <si>
    <t>иные межбюджетные трансферты бюджетам муниципальных образований Краснодарского края за счет средств резервного фонда администрации Краснодарского края</t>
  </si>
  <si>
    <t>иные межбюджетные трансферты на дополнительную помощь местным бюджетам для решения социально значимых вопросов местного значения</t>
  </si>
  <si>
    <t>2 02 49999 00 0000 150</t>
  </si>
  <si>
    <t>Прочие межбюджетные трансферты, передаваемые бюджетам</t>
  </si>
  <si>
    <t>2 02 29900 00 0000 150</t>
  </si>
  <si>
    <t>Субсидии бюджетам субъектов Российской Федерации (муниципальных образований) из бюджета субъекта Российской Федерации (местного бюджета)</t>
  </si>
  <si>
    <t>2 02 29900 05 0000 150</t>
  </si>
  <si>
    <t>Субсидии бюджетам муниципальных районов из местных бюджетов</t>
  </si>
  <si>
    <t>субсидии бюджету муниципального образования Апшеронский район в целях финансирования расходных обязательств, возникающих при выполнении полномочий органов местного самоуправления Апшеронского района по подвозу обучающихся из Туапсинского района к месту учебы в Апшеронский район и обратно, в соответствии с заключенными соглашениями</t>
  </si>
  <si>
    <t>Средства резервного фонда администрации Краснодарского края</t>
  </si>
  <si>
    <t>62590</t>
  </si>
  <si>
    <t>Прочие межбюджетные трансферты общего характера</t>
  </si>
  <si>
    <t>Финансовое обеспечение непредвиденных расходов, в том числе связанных с предупреждением и ликвидацией чрезвычайных ситуаций и их последствий, а также иных мероприятий (неотложных расходов)</t>
  </si>
  <si>
    <t>98</t>
  </si>
  <si>
    <t>Мероприятия, направленные на предупреждение и ликвидацию чрезвычайных ситуаций и их последствий, а также на иные мероприятия (неотложные расходы), не относящиеся к публичным нормативным обязательствам</t>
  </si>
  <si>
    <t>Иные межбюджетные трансферты бюджетам поселений за счет средств резервного фонда администрации муниципального образования Апшеронский район</t>
  </si>
  <si>
    <t>90020</t>
  </si>
  <si>
    <t>Реконструкция и устройство освещения детской игровой площадки п. Станционный, ул. 2-я Тоннельная Куринского сельского поселения Апшеронского района</t>
  </si>
  <si>
    <t>Организация подвоза обучающихся, проживающих на территории Туапсинского района</t>
  </si>
  <si>
    <t>27000</t>
  </si>
  <si>
    <t>69120</t>
  </si>
  <si>
    <t>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и обратно</t>
  </si>
  <si>
    <t>62980</t>
  </si>
  <si>
    <t>Дополнительная помощь местным бюджетам для решения социально значимых вопросов местного значения</t>
  </si>
  <si>
    <t>926, 925</t>
  </si>
  <si>
    <t>2 02 19999 00 0000 150</t>
  </si>
  <si>
    <t>Прочие дотации</t>
  </si>
  <si>
    <t>2 02 19999 05 0000 150</t>
  </si>
  <si>
    <t>Прочие дотации бюджетам муниципальных районов</t>
  </si>
  <si>
    <t>Поддержка местных инициатив по итогам краевого конкурса</t>
  </si>
  <si>
    <t>62950</t>
  </si>
  <si>
    <t>Социальное обеспечение населения</t>
  </si>
  <si>
    <t>Меры социальной поддержки отдельных категорий граждан</t>
  </si>
  <si>
    <t xml:space="preserve">Обеспечение автономными дымовыми пожарными извещателями </t>
  </si>
  <si>
    <t>10160</t>
  </si>
  <si>
    <t>Иные межбюджетные трансферты на поддержку мер по обеспечению сбалансированности бюджетов поселений</t>
  </si>
  <si>
    <t>10720</t>
  </si>
  <si>
    <t>Переселение граждан из аварийного жилищного фонда</t>
  </si>
  <si>
    <t>Реализация мероприятий по переселению граждан из аварийного жилищного фонда</t>
  </si>
  <si>
    <t xml:space="preserve">Реализация мероприятий муниципальной программы "Развитие топливно-энергетического комплекса и жилищно-коммунального хозяйства" </t>
  </si>
  <si>
    <t>12200</t>
  </si>
  <si>
    <t>Осуществление отдельных государственных полномочий по обеспечению детей сирот и детей, оставшихся без попечения родителей, лиц из числа детей сирот и детей, оставшихся без попечения родителей, жилыми помещениями</t>
  </si>
  <si>
    <t>Строительство, реконструкцию (в том числе реконструкцию объектов незавершенного строительства), техническое перевооружение, приобретение объектов спортивной инфраструктуры, общего образования, дошкольного образования, дополнительного образования, отрасли культуры, сооружений инженерной защиты и берегоукрепления</t>
  </si>
  <si>
    <t>субсидии на строительство, реконструкцию (в том числе реконструкцию объектов незавершенного строительства), техническое перевооружение, приобретение объектов спортивной инфраструктуры, общего образования, дошкольного образования, дополнительного образования, отрасли культуры, сооружений инженерной защиты и берегоукрепления</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</si>
  <si>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(субвенции на осуществление отдельного государственного полномочия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</si>
  <si>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t>
  </si>
  <si>
    <t>субсидии на организацию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дополнительного образования в муниципальных образовательных организациях в целях проведения капитальных ремонтов зданий, помещений, сооружений, благоустройство территорий, прилегающих к зданиям и сооружениям</t>
  </si>
  <si>
    <t>субсидии на организацию и обеспечение бесплатным питанием обучающихся с ограниченными возможностями здоровья в муниципальных общеобразовательных организациях</t>
  </si>
  <si>
    <t>(в редакции решений Совета МО АР от 15.02.2024 № 228, 26.03.2024 № 236, 25.04.2024 № 243)</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</si>
</sst>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3" formatCode="_-* #,##0.00\ _₽_-;\-* #,##0.00\ _₽_-;_-* &quot;-&quot;??\ _₽_-;_-@_-"/>
    <numFmt numFmtId="164" formatCode="_-* #,##0_р_._-;\-* #,##0_р_._-;_-* &quot;-&quot;_р_._-;_-@_-"/>
    <numFmt numFmtId="165" formatCode="_-* #,##0.00_р_._-;\-* #,##0.00_р_._-;_-* &quot;-&quot;??_р_._-;_-@_-"/>
    <numFmt numFmtId="166" formatCode="0.0"/>
    <numFmt numFmtId="167" formatCode="#,##0.0"/>
    <numFmt numFmtId="168" formatCode="0.00000"/>
    <numFmt numFmtId="169" formatCode="0.0_ ;[Red]\-0.0\ "/>
    <numFmt numFmtId="170" formatCode="#,##0.00000"/>
    <numFmt numFmtId="171" formatCode="0.000000"/>
    <numFmt numFmtId="172" formatCode="0.00000_ ;[Red]\-0.00000\ "/>
    <numFmt numFmtId="173" formatCode="_-* #,##0.00000_р_._-;\-* #,##0.00000_р_._-;_-* &quot;-&quot;?????_р_._-;_-@_-"/>
    <numFmt numFmtId="174" formatCode="#,##0.0_ ;\-#,##0.0\ "/>
    <numFmt numFmtId="175" formatCode="#,##0.0000000_ ;[Red]\-#,##0.0000000\ "/>
  </numFmts>
  <fonts count="39" x14ac:knownFonts="1">
    <font>
      <sz val="11"/>
      <color theme="1"/>
      <name val="Calibri"/>
      <family val="2"/>
      <scheme val="minor"/>
    </font>
    <font>
      <sz val="14"/>
      <name val="Times New Roman"/>
      <family val="1"/>
    </font>
    <font>
      <b/>
      <sz val="14"/>
      <name val="Times New Roman"/>
      <family val="1"/>
    </font>
    <font>
      <sz val="14"/>
      <name val="Times New Roman"/>
      <family val="1"/>
      <charset val="204"/>
    </font>
    <font>
      <b/>
      <sz val="14"/>
      <name val="Times New Roman"/>
      <family val="1"/>
      <charset val="204"/>
    </font>
    <font>
      <sz val="10"/>
      <name val="Arial"/>
      <family val="2"/>
      <charset val="204"/>
    </font>
    <font>
      <i/>
      <sz val="14"/>
      <name val="Times New Roman"/>
      <family val="1"/>
      <charset val="204"/>
    </font>
    <font>
      <sz val="10"/>
      <name val="Arial Cyr"/>
      <charset val="204"/>
    </font>
    <font>
      <sz val="12"/>
      <name val="Times New Roman"/>
      <family val="1"/>
    </font>
    <font>
      <sz val="10"/>
      <name val="Arial Cyr"/>
      <family val="2"/>
      <charset val="204"/>
    </font>
    <font>
      <b/>
      <sz val="12"/>
      <name val="Times New Roman"/>
      <family val="1"/>
      <charset val="204"/>
    </font>
    <font>
      <sz val="12"/>
      <name val="Times New Roman"/>
      <family val="1"/>
      <charset val="204"/>
    </font>
    <font>
      <i/>
      <sz val="14"/>
      <name val="Times New Roman"/>
      <family val="1"/>
    </font>
    <font>
      <sz val="14"/>
      <name val="Arial"/>
      <family val="2"/>
      <charset val="204"/>
    </font>
    <font>
      <b/>
      <sz val="12"/>
      <name val="Times New Roman"/>
      <family val="1"/>
    </font>
    <font>
      <b/>
      <sz val="10"/>
      <name val="Times New Roman"/>
      <family val="1"/>
    </font>
    <font>
      <sz val="14"/>
      <name val="Arial Cyr"/>
      <charset val="204"/>
    </font>
    <font>
      <sz val="11"/>
      <name val="Calibri"/>
      <family val="2"/>
      <scheme val="minor"/>
    </font>
    <font>
      <b/>
      <sz val="16"/>
      <name val="Times New Roman"/>
      <family val="1"/>
      <charset val="204"/>
    </font>
    <font>
      <sz val="11"/>
      <color theme="1"/>
      <name val="Calibri"/>
      <family val="2"/>
      <scheme val="minor"/>
    </font>
    <font>
      <sz val="12"/>
      <name val="Calibri"/>
      <family val="2"/>
      <scheme val="minor"/>
    </font>
    <font>
      <sz val="11"/>
      <name val="Times New Roman"/>
      <family val="1"/>
      <charset val="204"/>
    </font>
    <font>
      <sz val="10"/>
      <name val="Times New Roman"/>
      <family val="1"/>
      <charset val="204"/>
    </font>
    <font>
      <b/>
      <sz val="11"/>
      <name val="Times New Roman"/>
      <family val="1"/>
      <charset val="204"/>
    </font>
    <font>
      <i/>
      <sz val="14"/>
      <color rgb="FF0000FF"/>
      <name val="Times New Roman"/>
      <family val="1"/>
      <charset val="204"/>
    </font>
    <font>
      <sz val="14"/>
      <color rgb="FF0000FF"/>
      <name val="Times New Roman"/>
      <family val="1"/>
      <charset val="204"/>
    </font>
    <font>
      <sz val="11"/>
      <name val="Calibri"/>
      <family val="2"/>
    </font>
    <font>
      <i/>
      <sz val="12"/>
      <name val="Times New Roman"/>
      <family val="1"/>
      <charset val="204"/>
    </font>
    <font>
      <sz val="14"/>
      <color rgb="FFFF0000"/>
      <name val="Times New Roman"/>
      <family val="1"/>
      <charset val="204"/>
    </font>
    <font>
      <sz val="14"/>
      <color theme="1"/>
      <name val="Calibri"/>
      <family val="2"/>
      <scheme val="minor"/>
    </font>
    <font>
      <i/>
      <sz val="11"/>
      <name val="Times New Roman"/>
      <family val="1"/>
      <charset val="204"/>
    </font>
    <font>
      <b/>
      <i/>
      <sz val="12"/>
      <name val="Times New Roman"/>
      <family val="1"/>
      <charset val="204"/>
    </font>
    <font>
      <b/>
      <sz val="11"/>
      <name val="Calibri"/>
      <family val="2"/>
      <charset val="204"/>
      <scheme val="minor"/>
    </font>
    <font>
      <sz val="14"/>
      <color rgb="FFC00000"/>
      <name val="Times New Roman"/>
      <family val="1"/>
      <charset val="204"/>
    </font>
    <font>
      <sz val="14"/>
      <color rgb="FF8A0000"/>
      <name val="Times New Roman"/>
      <family val="1"/>
    </font>
    <font>
      <sz val="14"/>
      <color rgb="FF8A0000"/>
      <name val="Calibri"/>
      <family val="2"/>
      <scheme val="minor"/>
    </font>
    <font>
      <sz val="14"/>
      <color rgb="FF22272F"/>
      <name val="Times New Roman"/>
      <family val="1"/>
      <charset val="204"/>
    </font>
    <font>
      <i/>
      <sz val="12"/>
      <color rgb="FF0000FF"/>
      <name val="Times New Roman"/>
      <family val="1"/>
      <charset val="204"/>
    </font>
    <font>
      <sz val="14"/>
      <color rgb="FF000000"/>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indexed="9"/>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diagonal/>
    </border>
    <border>
      <left style="thin">
        <color indexed="8"/>
      </left>
      <right style="thin">
        <color indexed="8"/>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diagonal/>
    </border>
    <border>
      <left style="thin">
        <color indexed="64"/>
      </left>
      <right/>
      <top style="thin">
        <color indexed="8"/>
      </top>
      <bottom style="thin">
        <color indexed="8"/>
      </bottom>
      <diagonal/>
    </border>
    <border>
      <left style="thin">
        <color indexed="8"/>
      </left>
      <right/>
      <top style="thin">
        <color indexed="8"/>
      </top>
      <bottom/>
      <diagonal/>
    </border>
    <border>
      <left/>
      <right style="thin">
        <color indexed="8"/>
      </right>
      <top style="thin">
        <color indexed="8"/>
      </top>
      <bottom/>
      <diagonal/>
    </border>
    <border>
      <left style="thin">
        <color indexed="8"/>
      </left>
      <right style="thin">
        <color indexed="8"/>
      </right>
      <top/>
      <bottom/>
      <diagonal/>
    </border>
    <border>
      <left style="thin">
        <color indexed="64"/>
      </left>
      <right style="thin">
        <color indexed="64"/>
      </right>
      <top style="thin">
        <color indexed="8"/>
      </top>
      <bottom style="thin">
        <color indexed="8"/>
      </bottom>
      <diagonal/>
    </border>
    <border>
      <left style="thin">
        <color indexed="64"/>
      </left>
      <right style="thin">
        <color indexed="64"/>
      </right>
      <top style="thin">
        <color indexed="8"/>
      </top>
      <bottom style="thin">
        <color indexed="64"/>
      </bottom>
      <diagonal/>
    </border>
    <border>
      <left style="thin">
        <color indexed="8"/>
      </left>
      <right/>
      <top/>
      <bottom style="thin">
        <color indexed="8"/>
      </bottom>
      <diagonal/>
    </border>
    <border>
      <left/>
      <right style="thin">
        <color indexed="8"/>
      </right>
      <top style="thin">
        <color indexed="8"/>
      </top>
      <bottom style="thin">
        <color indexed="64"/>
      </bottom>
      <diagonal/>
    </border>
    <border>
      <left style="thin">
        <color indexed="8"/>
      </left>
      <right style="thin">
        <color indexed="8"/>
      </right>
      <top style="thin">
        <color indexed="8"/>
      </top>
      <bottom style="thin">
        <color indexed="64"/>
      </bottom>
      <diagonal/>
    </border>
    <border>
      <left/>
      <right/>
      <top/>
      <bottom style="thin">
        <color indexed="8"/>
      </bottom>
      <diagonal/>
    </border>
    <border>
      <left style="thin">
        <color indexed="8"/>
      </left>
      <right/>
      <top style="thin">
        <color indexed="64"/>
      </top>
      <bottom style="thin">
        <color indexed="8"/>
      </bottom>
      <diagonal/>
    </border>
    <border>
      <left/>
      <right/>
      <top style="thin">
        <color indexed="64"/>
      </top>
      <bottom style="thin">
        <color indexed="8"/>
      </bottom>
      <diagonal/>
    </border>
    <border>
      <left/>
      <right style="thin">
        <color indexed="8"/>
      </right>
      <top style="thin">
        <color indexed="64"/>
      </top>
      <bottom style="thin">
        <color indexed="8"/>
      </bottom>
      <diagonal/>
    </border>
    <border>
      <left/>
      <right style="thin">
        <color indexed="8"/>
      </right>
      <top/>
      <bottom/>
      <diagonal/>
    </border>
    <border>
      <left/>
      <right/>
      <top style="thin">
        <color indexed="8"/>
      </top>
      <bottom style="thin">
        <color indexed="64"/>
      </bottom>
      <diagonal/>
    </border>
    <border>
      <left style="thin">
        <color indexed="8"/>
      </left>
      <right/>
      <top style="thin">
        <color indexed="8"/>
      </top>
      <bottom style="thin">
        <color indexed="64"/>
      </bottom>
      <diagonal/>
    </border>
    <border>
      <left style="thin">
        <color indexed="64"/>
      </left>
      <right style="thin">
        <color indexed="8"/>
      </right>
      <top style="thin">
        <color indexed="64"/>
      </top>
      <bottom style="thin">
        <color indexed="64"/>
      </bottom>
      <diagonal/>
    </border>
    <border>
      <left style="thin">
        <color indexed="8"/>
      </left>
      <right style="thin">
        <color indexed="8"/>
      </right>
      <top style="thin">
        <color indexed="64"/>
      </top>
      <bottom style="thin">
        <color indexed="64"/>
      </bottom>
      <diagonal/>
    </border>
    <border>
      <left style="thin">
        <color indexed="8"/>
      </left>
      <right/>
      <top style="thin">
        <color indexed="64"/>
      </top>
      <bottom style="thin">
        <color indexed="64"/>
      </bottom>
      <diagonal/>
    </border>
    <border>
      <left style="thin">
        <color indexed="8"/>
      </left>
      <right style="thin">
        <color indexed="64"/>
      </right>
      <top style="thin">
        <color indexed="64"/>
      </top>
      <bottom style="thin">
        <color indexed="64"/>
      </bottom>
      <diagonal/>
    </border>
    <border>
      <left style="thin">
        <color indexed="64"/>
      </left>
      <right/>
      <top style="thin">
        <color indexed="8"/>
      </top>
      <bottom style="thin">
        <color indexed="64"/>
      </bottom>
      <diagonal/>
    </border>
  </borders>
  <cellStyleXfs count="21">
    <xf numFmtId="0" fontId="0" fillId="0" borderId="0"/>
    <xf numFmtId="0" fontId="5" fillId="0" borderId="0"/>
    <xf numFmtId="0" fontId="7" fillId="0" borderId="0"/>
    <xf numFmtId="0" fontId="5" fillId="0" borderId="0"/>
    <xf numFmtId="0" fontId="5" fillId="0" borderId="0"/>
    <xf numFmtId="0" fontId="9" fillId="0" borderId="0"/>
    <xf numFmtId="0" fontId="7" fillId="0" borderId="0"/>
    <xf numFmtId="0" fontId="7" fillId="0" borderId="0"/>
    <xf numFmtId="0" fontId="5" fillId="0" borderId="0"/>
    <xf numFmtId="0" fontId="7" fillId="0" borderId="0"/>
    <xf numFmtId="165" fontId="7" fillId="0" borderId="0" applyFont="0" applyFill="0" applyBorder="0" applyAlignment="0" applyProtection="0"/>
    <xf numFmtId="0" fontId="9" fillId="0" borderId="0"/>
    <xf numFmtId="0" fontId="9" fillId="0" borderId="0"/>
    <xf numFmtId="164" fontId="19" fillId="0" borderId="0" applyFont="0" applyFill="0" applyBorder="0" applyAlignment="0" applyProtection="0"/>
    <xf numFmtId="0" fontId="9" fillId="0" borderId="0"/>
    <xf numFmtId="0" fontId="5" fillId="0" borderId="0"/>
    <xf numFmtId="0" fontId="9" fillId="0" borderId="0"/>
    <xf numFmtId="0" fontId="19" fillId="0" borderId="0"/>
    <xf numFmtId="0" fontId="7" fillId="0" borderId="0"/>
    <xf numFmtId="43" fontId="19" fillId="0" borderId="0" applyFont="0" applyFill="0" applyBorder="0" applyAlignment="0" applyProtection="0"/>
    <xf numFmtId="0" fontId="5" fillId="0" borderId="0"/>
  </cellStyleXfs>
  <cellXfs count="958">
    <xf numFmtId="0" fontId="0" fillId="0" borderId="0" xfId="0"/>
    <xf numFmtId="0" fontId="1" fillId="0" borderId="0" xfId="7" applyFont="1" applyFill="1" applyBorder="1"/>
    <xf numFmtId="0" fontId="1" fillId="0" borderId="0" xfId="7" applyFont="1" applyFill="1"/>
    <xf numFmtId="1" fontId="1" fillId="0" borderId="0" xfId="7" applyNumberFormat="1" applyFont="1" applyFill="1"/>
    <xf numFmtId="0" fontId="1" fillId="0" borderId="1" xfId="7" applyFont="1" applyFill="1" applyBorder="1" applyAlignment="1">
      <alignment horizontal="center"/>
    </xf>
    <xf numFmtId="0" fontId="1" fillId="0" borderId="0" xfId="3" applyFont="1" applyFill="1"/>
    <xf numFmtId="168" fontId="1" fillId="0" borderId="0" xfId="7" applyNumberFormat="1" applyFont="1" applyFill="1" applyAlignment="1">
      <alignment horizontal="right"/>
    </xf>
    <xf numFmtId="0" fontId="8" fillId="0" borderId="0" xfId="7" applyFont="1" applyFill="1"/>
    <xf numFmtId="168" fontId="8" fillId="0" borderId="0" xfId="7" applyNumberFormat="1" applyFont="1" applyFill="1"/>
    <xf numFmtId="49" fontId="14" fillId="0" borderId="0" xfId="7" applyNumberFormat="1" applyFont="1" applyFill="1" applyBorder="1" applyAlignment="1">
      <alignment vertical="top" wrapText="1"/>
    </xf>
    <xf numFmtId="49" fontId="8" fillId="0" borderId="0" xfId="7" applyNumberFormat="1" applyFont="1" applyFill="1" applyBorder="1" applyAlignment="1">
      <alignment horizontal="center"/>
    </xf>
    <xf numFmtId="49" fontId="11" fillId="0" borderId="0" xfId="7" applyNumberFormat="1" applyFont="1" applyFill="1" applyBorder="1" applyAlignment="1">
      <alignment horizontal="center"/>
    </xf>
    <xf numFmtId="166" fontId="2" fillId="0" borderId="0" xfId="7" applyNumberFormat="1" applyFont="1" applyFill="1" applyBorder="1" applyAlignment="1"/>
    <xf numFmtId="1" fontId="1" fillId="0" borderId="0" xfId="7" applyNumberFormat="1" applyFont="1" applyFill="1" applyAlignment="1">
      <alignment horizontal="right"/>
    </xf>
    <xf numFmtId="168" fontId="3" fillId="0" borderId="1" xfId="3" applyNumberFormat="1" applyFont="1" applyFill="1" applyBorder="1" applyAlignment="1">
      <alignment horizontal="center" vertical="center"/>
    </xf>
    <xf numFmtId="0" fontId="3" fillId="0" borderId="0" xfId="0" applyFont="1" applyFill="1"/>
    <xf numFmtId="0" fontId="1" fillId="0" borderId="0" xfId="3" applyFont="1" applyFill="1" applyAlignment="1">
      <alignment wrapText="1"/>
    </xf>
    <xf numFmtId="1" fontId="1" fillId="0" borderId="1" xfId="7" applyNumberFormat="1" applyFont="1" applyFill="1" applyBorder="1" applyAlignment="1">
      <alignment horizontal="center" vertical="center" wrapText="1"/>
    </xf>
    <xf numFmtId="0" fontId="1" fillId="0" borderId="1" xfId="7" applyFont="1" applyFill="1" applyBorder="1"/>
    <xf numFmtId="166" fontId="2" fillId="0" borderId="1" xfId="7" applyNumberFormat="1" applyFont="1" applyFill="1" applyBorder="1" applyAlignment="1">
      <alignment horizontal="right"/>
    </xf>
    <xf numFmtId="1" fontId="2" fillId="0" borderId="0" xfId="7" applyNumberFormat="1" applyFont="1" applyFill="1"/>
    <xf numFmtId="0" fontId="1" fillId="0" borderId="0" xfId="7" applyFont="1" applyFill="1" applyBorder="1" applyAlignment="1">
      <alignment horizontal="left"/>
    </xf>
    <xf numFmtId="0" fontId="1" fillId="0" borderId="0" xfId="7" applyFont="1" applyFill="1" applyAlignment="1">
      <alignment horizontal="left"/>
    </xf>
    <xf numFmtId="0" fontId="1" fillId="0" borderId="1" xfId="7" applyFont="1" applyFill="1" applyBorder="1" applyAlignment="1">
      <alignment horizontal="center" vertical="center"/>
    </xf>
    <xf numFmtId="0" fontId="1" fillId="0" borderId="0" xfId="3" applyFont="1" applyFill="1" applyBorder="1" applyAlignment="1">
      <alignment horizontal="center" vertical="justify"/>
    </xf>
    <xf numFmtId="0" fontId="1" fillId="0" borderId="0" xfId="3" applyFont="1" applyFill="1" applyBorder="1" applyAlignment="1">
      <alignment horizontal="left" wrapText="1"/>
    </xf>
    <xf numFmtId="0" fontId="1" fillId="0" borderId="0" xfId="3" applyFont="1" applyFill="1" applyBorder="1" applyAlignment="1">
      <alignment horizontal="center"/>
    </xf>
    <xf numFmtId="0" fontId="7" fillId="0" borderId="0" xfId="7" applyFont="1" applyFill="1"/>
    <xf numFmtId="0" fontId="1" fillId="0" borderId="0" xfId="3" applyFont="1"/>
    <xf numFmtId="0" fontId="8" fillId="0" borderId="0" xfId="3" applyFont="1"/>
    <xf numFmtId="0" fontId="8" fillId="0" borderId="0" xfId="3" applyFont="1" applyAlignment="1">
      <alignment wrapText="1"/>
    </xf>
    <xf numFmtId="168" fontId="8" fillId="0" borderId="0" xfId="3" applyNumberFormat="1" applyFont="1" applyAlignment="1">
      <alignment horizontal="right"/>
    </xf>
    <xf numFmtId="0" fontId="1" fillId="0" borderId="6" xfId="3" applyFont="1" applyBorder="1" applyAlignment="1">
      <alignment horizontal="center" vertical="center" wrapText="1"/>
    </xf>
    <xf numFmtId="0" fontId="1" fillId="0" borderId="2" xfId="3" applyFont="1" applyBorder="1" applyAlignment="1">
      <alignment horizontal="center" vertical="center" wrapText="1"/>
    </xf>
    <xf numFmtId="0" fontId="1" fillId="0" borderId="8" xfId="3" applyFont="1" applyBorder="1" applyAlignment="1">
      <alignment horizontal="center" vertical="center" wrapText="1"/>
    </xf>
    <xf numFmtId="0" fontId="1" fillId="0" borderId="3" xfId="3" applyFont="1" applyBorder="1" applyAlignment="1">
      <alignment horizontal="center" vertical="center" wrapText="1"/>
    </xf>
    <xf numFmtId="0" fontId="1" fillId="0" borderId="6" xfId="3" applyFont="1" applyBorder="1" applyAlignment="1">
      <alignment horizontal="justify" vertical="top" wrapText="1"/>
    </xf>
    <xf numFmtId="0" fontId="1" fillId="0" borderId="15" xfId="3" applyFont="1" applyBorder="1" applyAlignment="1">
      <alignment horizontal="left" wrapText="1"/>
    </xf>
    <xf numFmtId="0" fontId="1" fillId="0" borderId="14" xfId="3" applyFont="1" applyBorder="1" applyAlignment="1">
      <alignment horizontal="left" wrapText="1"/>
    </xf>
    <xf numFmtId="0" fontId="1" fillId="0" borderId="0" xfId="3" applyFont="1" applyAlignment="1">
      <alignment horizontal="center"/>
    </xf>
    <xf numFmtId="0" fontId="3" fillId="0" borderId="0" xfId="0" applyFont="1"/>
    <xf numFmtId="0" fontId="4" fillId="0" borderId="0" xfId="0" applyFont="1"/>
    <xf numFmtId="0" fontId="3" fillId="0" borderId="1" xfId="0" applyFont="1" applyBorder="1"/>
    <xf numFmtId="167" fontId="1" fillId="0" borderId="5" xfId="3" applyNumberFormat="1" applyFont="1" applyFill="1" applyBorder="1" applyAlignment="1">
      <alignment horizontal="center"/>
    </xf>
    <xf numFmtId="167" fontId="1" fillId="0" borderId="12" xfId="3" applyNumberFormat="1" applyFont="1" applyFill="1" applyBorder="1" applyAlignment="1">
      <alignment horizontal="center"/>
    </xf>
    <xf numFmtId="167" fontId="1" fillId="0" borderId="13" xfId="3" applyNumberFormat="1" applyFont="1" applyFill="1" applyBorder="1" applyAlignment="1">
      <alignment horizontal="center"/>
    </xf>
    <xf numFmtId="0" fontId="17" fillId="2" borderId="0" xfId="0" applyFont="1" applyFill="1"/>
    <xf numFmtId="0" fontId="8" fillId="2" borderId="0" xfId="0" applyFont="1" applyFill="1" applyBorder="1" applyAlignment="1">
      <alignment horizontal="center"/>
    </xf>
    <xf numFmtId="49" fontId="8" fillId="2" borderId="0" xfId="0" applyNumberFormat="1" applyFont="1" applyFill="1" applyBorder="1" applyAlignment="1">
      <alignment horizontal="center" vertical="top" wrapText="1"/>
    </xf>
    <xf numFmtId="49" fontId="8" fillId="2" borderId="0" xfId="0" applyNumberFormat="1" applyFont="1" applyFill="1" applyBorder="1" applyAlignment="1">
      <alignment horizontal="center"/>
    </xf>
    <xf numFmtId="168" fontId="17" fillId="2" borderId="0" xfId="0" applyNumberFormat="1" applyFont="1" applyFill="1" applyBorder="1" applyAlignment="1"/>
    <xf numFmtId="168" fontId="8" fillId="2" borderId="0" xfId="0" applyNumberFormat="1" applyFont="1" applyFill="1" applyAlignment="1">
      <alignment horizontal="center"/>
    </xf>
    <xf numFmtId="0" fontId="8" fillId="2" borderId="0" xfId="0" applyFont="1" applyFill="1"/>
    <xf numFmtId="0" fontId="1" fillId="2" borderId="1" xfId="0" applyFont="1" applyFill="1" applyBorder="1" applyAlignment="1">
      <alignment horizontal="center"/>
    </xf>
    <xf numFmtId="49" fontId="1" fillId="2" borderId="1" xfId="0" applyNumberFormat="1" applyFont="1" applyFill="1" applyBorder="1" applyAlignment="1">
      <alignment horizontal="center" vertical="top" wrapText="1"/>
    </xf>
    <xf numFmtId="49" fontId="1" fillId="2" borderId="1" xfId="0" applyNumberFormat="1" applyFont="1" applyFill="1" applyBorder="1" applyAlignment="1">
      <alignment horizontal="center"/>
    </xf>
    <xf numFmtId="0" fontId="1" fillId="2" borderId="1" xfId="0" applyFont="1" applyFill="1" applyBorder="1" applyAlignment="1">
      <alignment horizontal="center" vertical="top"/>
    </xf>
    <xf numFmtId="49" fontId="2" fillId="2" borderId="3" xfId="0" applyNumberFormat="1" applyFont="1" applyFill="1" applyBorder="1" applyAlignment="1">
      <alignment vertical="top" wrapText="1"/>
    </xf>
    <xf numFmtId="49" fontId="1" fillId="2" borderId="1" xfId="6" applyNumberFormat="1" applyFont="1" applyFill="1" applyBorder="1" applyAlignment="1">
      <alignment horizontal="center" vertical="top" wrapText="1"/>
    </xf>
    <xf numFmtId="49" fontId="1" fillId="2" borderId="1" xfId="6" applyNumberFormat="1" applyFont="1" applyFill="1" applyBorder="1" applyAlignment="1">
      <alignment horizontal="center" vertical="top"/>
    </xf>
    <xf numFmtId="49" fontId="1" fillId="2" borderId="2" xfId="6" applyNumberFormat="1" applyFont="1" applyFill="1" applyBorder="1" applyAlignment="1">
      <alignment horizontal="center" vertical="top"/>
    </xf>
    <xf numFmtId="49" fontId="1" fillId="2" borderId="9" xfId="6" applyNumberFormat="1" applyFont="1" applyFill="1" applyBorder="1" applyAlignment="1">
      <alignment horizontal="center" vertical="top"/>
    </xf>
    <xf numFmtId="49" fontId="1" fillId="2" borderId="3" xfId="6" applyNumberFormat="1" applyFont="1" applyFill="1" applyBorder="1" applyAlignment="1">
      <alignment horizontal="center" vertical="top"/>
    </xf>
    <xf numFmtId="49" fontId="2" fillId="2" borderId="1" xfId="0" applyNumberFormat="1" applyFont="1" applyFill="1" applyBorder="1" applyAlignment="1">
      <alignment horizontal="center" wrapText="1"/>
    </xf>
    <xf numFmtId="49" fontId="2" fillId="2" borderId="1" xfId="0" applyNumberFormat="1" applyFont="1" applyFill="1" applyBorder="1" applyAlignment="1">
      <alignment horizontal="center"/>
    </xf>
    <xf numFmtId="49" fontId="2" fillId="2" borderId="2" xfId="0" applyNumberFormat="1" applyFont="1" applyFill="1" applyBorder="1" applyAlignment="1">
      <alignment horizontal="center"/>
    </xf>
    <xf numFmtId="49" fontId="2" fillId="2" borderId="9" xfId="0" applyNumberFormat="1" applyFont="1" applyFill="1" applyBorder="1" applyAlignment="1">
      <alignment horizontal="center"/>
    </xf>
    <xf numFmtId="49" fontId="2" fillId="2" borderId="3" xfId="0" applyNumberFormat="1" applyFont="1" applyFill="1" applyBorder="1" applyAlignment="1">
      <alignment horizontal="center"/>
    </xf>
    <xf numFmtId="49" fontId="1" fillId="2" borderId="1" xfId="0" applyNumberFormat="1" applyFont="1" applyFill="1" applyBorder="1" applyAlignment="1">
      <alignment horizontal="center" wrapText="1"/>
    </xf>
    <xf numFmtId="166" fontId="1" fillId="2" borderId="1" xfId="0" applyNumberFormat="1" applyFont="1" applyFill="1" applyBorder="1" applyAlignment="1">
      <alignment horizontal="right"/>
    </xf>
    <xf numFmtId="49" fontId="1" fillId="2" borderId="14" xfId="0" applyNumberFormat="1" applyFont="1" applyFill="1" applyBorder="1" applyAlignment="1">
      <alignment horizontal="center"/>
    </xf>
    <xf numFmtId="49" fontId="1" fillId="2" borderId="4" xfId="0" applyNumberFormat="1" applyFont="1" applyFill="1" applyBorder="1" applyAlignment="1">
      <alignment horizontal="center"/>
    </xf>
    <xf numFmtId="49" fontId="1" fillId="2" borderId="2" xfId="6" applyNumberFormat="1" applyFont="1" applyFill="1" applyBorder="1" applyAlignment="1">
      <alignment horizontal="center"/>
    </xf>
    <xf numFmtId="49" fontId="3" fillId="2" borderId="1" xfId="0" applyNumberFormat="1" applyFont="1" applyFill="1" applyBorder="1" applyAlignment="1">
      <alignment horizontal="center"/>
    </xf>
    <xf numFmtId="0" fontId="3" fillId="2" borderId="1" xfId="0" applyFont="1" applyFill="1" applyBorder="1"/>
    <xf numFmtId="166" fontId="17" fillId="2" borderId="0" xfId="0" applyNumberFormat="1" applyFont="1" applyFill="1"/>
    <xf numFmtId="1" fontId="1" fillId="2" borderId="1" xfId="0" applyNumberFormat="1" applyFont="1" applyFill="1" applyBorder="1" applyAlignment="1">
      <alignment horizontal="center"/>
    </xf>
    <xf numFmtId="166" fontId="2" fillId="2" borderId="1" xfId="0" applyNumberFormat="1" applyFont="1" applyFill="1" applyBorder="1" applyAlignment="1">
      <alignment horizontal="right"/>
    </xf>
    <xf numFmtId="0" fontId="3" fillId="2" borderId="0" xfId="0" applyFont="1" applyFill="1" applyBorder="1"/>
    <xf numFmtId="0" fontId="3" fillId="2" borderId="0" xfId="0" applyFont="1" applyFill="1"/>
    <xf numFmtId="0" fontId="21" fillId="2" borderId="0" xfId="0" applyFont="1" applyFill="1"/>
    <xf numFmtId="0" fontId="3" fillId="2" borderId="1" xfId="0" applyFont="1" applyFill="1" applyBorder="1" applyAlignment="1">
      <alignment horizontal="center" vertical="top" wrapText="1"/>
    </xf>
    <xf numFmtId="0" fontId="3" fillId="2" borderId="1" xfId="1" applyFont="1" applyFill="1" applyBorder="1" applyAlignment="1">
      <alignment horizontal="center" vertical="top"/>
    </xf>
    <xf numFmtId="0" fontId="3" fillId="2" borderId="1" xfId="0" applyFont="1" applyFill="1" applyBorder="1" applyAlignment="1">
      <alignment horizontal="center" vertical="top"/>
    </xf>
    <xf numFmtId="0" fontId="3" fillId="2" borderId="0" xfId="0" applyFont="1" applyFill="1" applyAlignment="1">
      <alignment horizontal="right"/>
    </xf>
    <xf numFmtId="0" fontId="4" fillId="2" borderId="1" xfId="0" applyFont="1" applyFill="1" applyBorder="1" applyAlignment="1">
      <alignment horizontal="center" vertical="top"/>
    </xf>
    <xf numFmtId="49" fontId="10" fillId="2" borderId="0" xfId="7" applyNumberFormat="1" applyFont="1" applyFill="1" applyBorder="1" applyAlignment="1">
      <alignment vertical="top" wrapText="1"/>
    </xf>
    <xf numFmtId="49" fontId="11" fillId="2" borderId="0" xfId="7" applyNumberFormat="1" applyFont="1" applyFill="1" applyBorder="1" applyAlignment="1">
      <alignment horizontal="center"/>
    </xf>
    <xf numFmtId="166" fontId="4" fillId="2" borderId="0" xfId="7" applyNumberFormat="1" applyFont="1" applyFill="1" applyBorder="1" applyAlignment="1"/>
    <xf numFmtId="168" fontId="11" fillId="2" borderId="0" xfId="7" applyNumberFormat="1" applyFont="1" applyFill="1"/>
    <xf numFmtId="0" fontId="11" fillId="2" borderId="0" xfId="7" applyFont="1" applyFill="1"/>
    <xf numFmtId="0" fontId="6" fillId="2" borderId="0" xfId="0" applyFont="1" applyFill="1"/>
    <xf numFmtId="166" fontId="4" fillId="2" borderId="0" xfId="0" applyNumberFormat="1" applyFont="1" applyFill="1" applyAlignment="1">
      <alignment horizontal="center"/>
    </xf>
    <xf numFmtId="166" fontId="3" fillId="2" borderId="0" xfId="1" applyNumberFormat="1" applyFont="1" applyFill="1" applyAlignment="1">
      <alignment horizontal="right"/>
    </xf>
    <xf numFmtId="166" fontId="3" fillId="2" borderId="1" xfId="0" applyNumberFormat="1" applyFont="1" applyFill="1" applyBorder="1" applyAlignment="1">
      <alignment horizontal="center" vertical="center"/>
    </xf>
    <xf numFmtId="0" fontId="3" fillId="2" borderId="1" xfId="0" applyFont="1" applyFill="1" applyBorder="1" applyAlignment="1">
      <alignment horizontal="center"/>
    </xf>
    <xf numFmtId="1" fontId="3" fillId="2" borderId="1" xfId="0" applyNumberFormat="1" applyFont="1" applyFill="1" applyBorder="1" applyAlignment="1">
      <alignment horizontal="center"/>
    </xf>
    <xf numFmtId="0" fontId="4" fillId="2" borderId="1" xfId="7" applyFont="1" applyFill="1" applyBorder="1" applyAlignment="1">
      <alignment vertical="top" wrapText="1"/>
    </xf>
    <xf numFmtId="166" fontId="4" fillId="2" borderId="1" xfId="0" applyNumberFormat="1" applyFont="1" applyFill="1" applyBorder="1" applyAlignment="1">
      <alignment horizontal="right" vertical="top"/>
    </xf>
    <xf numFmtId="0" fontId="6" fillId="2" borderId="1" xfId="1" applyFont="1" applyFill="1" applyBorder="1" applyAlignment="1">
      <alignment horizontal="center" vertical="top"/>
    </xf>
    <xf numFmtId="0" fontId="3" fillId="2" borderId="0" xfId="1" applyFont="1" applyFill="1"/>
    <xf numFmtId="49" fontId="3" fillId="2" borderId="0" xfId="5" applyNumberFormat="1" applyFont="1" applyFill="1" applyBorder="1" applyAlignment="1">
      <alignment horizontal="center" vertical="top" wrapText="1"/>
    </xf>
    <xf numFmtId="0" fontId="3" fillId="2" borderId="0" xfId="5" applyNumberFormat="1" applyFont="1" applyFill="1" applyBorder="1" applyAlignment="1">
      <alignment horizontal="left" wrapText="1"/>
    </xf>
    <xf numFmtId="166" fontId="3" fillId="2" borderId="0" xfId="5" applyNumberFormat="1" applyFont="1" applyFill="1" applyBorder="1" applyAlignment="1">
      <alignment horizontal="right" wrapText="1"/>
    </xf>
    <xf numFmtId="49" fontId="27" fillId="2" borderId="0" xfId="7" applyNumberFormat="1" applyFont="1" applyFill="1" applyBorder="1" applyAlignment="1">
      <alignment horizontal="center"/>
    </xf>
    <xf numFmtId="166" fontId="3" fillId="2" borderId="0" xfId="0" applyNumberFormat="1" applyFont="1" applyFill="1"/>
    <xf numFmtId="0" fontId="3" fillId="2" borderId="0" xfId="0" applyFont="1" applyFill="1" applyAlignment="1">
      <alignment vertical="top"/>
    </xf>
    <xf numFmtId="0" fontId="4" fillId="2" borderId="0" xfId="0" applyFont="1" applyFill="1" applyAlignment="1">
      <alignment horizontal="center" vertical="top"/>
    </xf>
    <xf numFmtId="0" fontId="3" fillId="2" borderId="1" xfId="0" applyFont="1" applyFill="1" applyBorder="1" applyAlignment="1">
      <alignment horizontal="left" vertical="top" wrapText="1"/>
    </xf>
    <xf numFmtId="0" fontId="3" fillId="2" borderId="1" xfId="0" applyFont="1" applyFill="1" applyBorder="1" applyAlignment="1">
      <alignment vertical="top" wrapText="1"/>
    </xf>
    <xf numFmtId="0" fontId="6" fillId="2" borderId="1" xfId="0" applyFont="1" applyFill="1" applyBorder="1" applyAlignment="1">
      <alignment horizontal="center" vertical="top"/>
    </xf>
    <xf numFmtId="166" fontId="3" fillId="2" borderId="1" xfId="0" applyNumberFormat="1" applyFont="1" applyFill="1" applyBorder="1" applyAlignment="1">
      <alignment horizontal="right" vertical="top"/>
    </xf>
    <xf numFmtId="166" fontId="3" fillId="2" borderId="1" xfId="1" applyNumberFormat="1" applyFont="1" applyFill="1" applyBorder="1" applyAlignment="1">
      <alignment vertical="top"/>
    </xf>
    <xf numFmtId="0" fontId="24" fillId="2" borderId="0" xfId="0" applyFont="1" applyFill="1" applyAlignment="1">
      <alignment vertical="top"/>
    </xf>
    <xf numFmtId="0" fontId="24" fillId="2" borderId="0" xfId="0" applyFont="1" applyFill="1" applyAlignment="1">
      <alignment horizontal="center" vertical="top"/>
    </xf>
    <xf numFmtId="0" fontId="25" fillId="2" borderId="0" xfId="0" applyFont="1" applyFill="1" applyAlignment="1">
      <alignment horizontal="center" vertical="top"/>
    </xf>
    <xf numFmtId="0" fontId="3" fillId="2" borderId="0" xfId="0" applyFont="1" applyFill="1" applyBorder="1" applyAlignment="1">
      <alignment horizontal="center" vertical="top"/>
    </xf>
    <xf numFmtId="0" fontId="4" fillId="2" borderId="1" xfId="0" applyFont="1" applyFill="1" applyBorder="1" applyAlignment="1">
      <alignment horizontal="center"/>
    </xf>
    <xf numFmtId="0" fontId="4" fillId="2" borderId="1" xfId="0" applyFont="1" applyFill="1" applyBorder="1" applyAlignment="1">
      <alignment horizontal="left" vertical="top"/>
    </xf>
    <xf numFmtId="0" fontId="3" fillId="2" borderId="1" xfId="0" applyFont="1" applyFill="1" applyBorder="1" applyAlignment="1">
      <alignment vertical="top"/>
    </xf>
    <xf numFmtId="166" fontId="1" fillId="2" borderId="1" xfId="0" applyNumberFormat="1" applyFont="1" applyFill="1" applyBorder="1" applyAlignment="1">
      <alignment vertical="top" wrapText="1"/>
    </xf>
    <xf numFmtId="166" fontId="1" fillId="0" borderId="13" xfId="3" applyNumberFormat="1" applyFont="1" applyBorder="1" applyAlignment="1">
      <alignment horizontal="center"/>
    </xf>
    <xf numFmtId="49" fontId="3" fillId="2" borderId="5" xfId="0" applyNumberFormat="1" applyFont="1" applyFill="1" applyBorder="1" applyAlignment="1">
      <alignment horizontal="center"/>
    </xf>
    <xf numFmtId="49" fontId="3" fillId="2" borderId="0" xfId="0" applyNumberFormat="1" applyFont="1" applyFill="1" applyBorder="1" applyAlignment="1">
      <alignment horizontal="center"/>
    </xf>
    <xf numFmtId="0" fontId="17" fillId="2" borderId="0" xfId="0" applyFont="1" applyFill="1" applyBorder="1"/>
    <xf numFmtId="0" fontId="8" fillId="2" borderId="0" xfId="7" applyFont="1" applyFill="1"/>
    <xf numFmtId="49" fontId="14" fillId="2" borderId="0" xfId="7" applyNumberFormat="1" applyFont="1" applyFill="1" applyBorder="1" applyAlignment="1">
      <alignment vertical="top" wrapText="1"/>
    </xf>
    <xf numFmtId="49" fontId="8" fillId="2" borderId="0" xfId="7" applyNumberFormat="1" applyFont="1" applyFill="1" applyBorder="1" applyAlignment="1">
      <alignment horizontal="center"/>
    </xf>
    <xf numFmtId="49" fontId="1" fillId="2" borderId="1" xfId="7" applyNumberFormat="1" applyFont="1" applyFill="1" applyBorder="1" applyAlignment="1">
      <alignment horizontal="center"/>
    </xf>
    <xf numFmtId="0" fontId="1" fillId="2" borderId="1" xfId="7" applyFont="1" applyFill="1" applyBorder="1" applyAlignment="1">
      <alignment horizontal="center" vertical="top"/>
    </xf>
    <xf numFmtId="49" fontId="2" fillId="2" borderId="1" xfId="7" applyNumberFormat="1" applyFont="1" applyFill="1" applyBorder="1" applyAlignment="1">
      <alignment horizontal="center"/>
    </xf>
    <xf numFmtId="49" fontId="1" fillId="2" borderId="17" xfId="11" applyNumberFormat="1" applyFont="1" applyFill="1" applyBorder="1" applyAlignment="1">
      <alignment horizontal="center"/>
    </xf>
    <xf numFmtId="49" fontId="1" fillId="2" borderId="18" xfId="16" applyNumberFormat="1" applyFont="1" applyFill="1" applyBorder="1" applyAlignment="1">
      <alignment horizontal="center"/>
    </xf>
    <xf numFmtId="49" fontId="1" fillId="2" borderId="19" xfId="16" applyNumberFormat="1" applyFont="1" applyFill="1" applyBorder="1" applyAlignment="1">
      <alignment horizontal="center"/>
    </xf>
    <xf numFmtId="49" fontId="1" fillId="2" borderId="16" xfId="16" applyNumberFormat="1" applyFont="1" applyFill="1" applyBorder="1" applyAlignment="1">
      <alignment horizontal="center"/>
    </xf>
    <xf numFmtId="0" fontId="2" fillId="2" borderId="1" xfId="7" applyFont="1" applyFill="1" applyBorder="1" applyAlignment="1">
      <alignment horizontal="center" vertical="top"/>
    </xf>
    <xf numFmtId="49" fontId="2" fillId="2" borderId="9" xfId="7" applyNumberFormat="1" applyFont="1" applyFill="1" applyBorder="1" applyAlignment="1">
      <alignment horizontal="center"/>
    </xf>
    <xf numFmtId="49" fontId="2" fillId="2" borderId="3" xfId="7" applyNumberFormat="1" applyFont="1" applyFill="1" applyBorder="1" applyAlignment="1">
      <alignment horizontal="center"/>
    </xf>
    <xf numFmtId="49" fontId="1" fillId="2" borderId="9" xfId="6" applyNumberFormat="1" applyFont="1" applyFill="1" applyBorder="1" applyAlignment="1">
      <alignment horizontal="center"/>
    </xf>
    <xf numFmtId="49" fontId="1" fillId="2" borderId="3" xfId="6" applyNumberFormat="1" applyFont="1" applyFill="1" applyBorder="1" applyAlignment="1">
      <alignment horizontal="center"/>
    </xf>
    <xf numFmtId="49" fontId="1" fillId="2" borderId="1" xfId="6" applyNumberFormat="1" applyFont="1" applyFill="1" applyBorder="1" applyAlignment="1">
      <alignment horizontal="center"/>
    </xf>
    <xf numFmtId="49" fontId="1" fillId="2" borderId="0" xfId="7" applyNumberFormat="1" applyFont="1" applyFill="1" applyBorder="1" applyAlignment="1">
      <alignment horizontal="center"/>
    </xf>
    <xf numFmtId="49" fontId="1" fillId="2" borderId="17" xfId="6" applyNumberFormat="1" applyFont="1" applyFill="1" applyBorder="1" applyAlignment="1">
      <alignment horizontal="center"/>
    </xf>
    <xf numFmtId="49" fontId="1" fillId="2" borderId="18" xfId="14" applyNumberFormat="1" applyFont="1" applyFill="1" applyBorder="1" applyAlignment="1">
      <alignment horizontal="center"/>
    </xf>
    <xf numFmtId="49" fontId="1" fillId="2" borderId="19" xfId="14" applyNumberFormat="1" applyFont="1" applyFill="1" applyBorder="1" applyAlignment="1">
      <alignment horizontal="center"/>
    </xf>
    <xf numFmtId="49" fontId="1" fillId="2" borderId="21" xfId="14" applyNumberFormat="1" applyFont="1" applyFill="1" applyBorder="1" applyAlignment="1">
      <alignment horizontal="center"/>
    </xf>
    <xf numFmtId="49" fontId="1" fillId="2" borderId="16" xfId="14" applyNumberFormat="1" applyFont="1" applyFill="1" applyBorder="1" applyAlignment="1">
      <alignment horizontal="center"/>
    </xf>
    <xf numFmtId="49" fontId="1" fillId="2" borderId="20" xfId="6" applyNumberFormat="1" applyFont="1" applyFill="1" applyBorder="1" applyAlignment="1">
      <alignment horizontal="center"/>
    </xf>
    <xf numFmtId="49" fontId="1" fillId="2" borderId="20" xfId="14" applyNumberFormat="1" applyFont="1" applyFill="1" applyBorder="1" applyAlignment="1">
      <alignment horizontal="center"/>
    </xf>
    <xf numFmtId="49" fontId="1" fillId="2" borderId="17" xfId="5" applyNumberFormat="1" applyFont="1" applyFill="1" applyBorder="1" applyAlignment="1">
      <alignment horizontal="center"/>
    </xf>
    <xf numFmtId="49" fontId="1" fillId="2" borderId="18" xfId="5" applyNumberFormat="1" applyFont="1" applyFill="1" applyBorder="1" applyAlignment="1">
      <alignment horizontal="center"/>
    </xf>
    <xf numFmtId="49" fontId="1" fillId="2" borderId="19" xfId="5" applyNumberFormat="1" applyFont="1" applyFill="1" applyBorder="1" applyAlignment="1">
      <alignment horizontal="center"/>
    </xf>
    <xf numFmtId="49" fontId="1" fillId="2" borderId="16" xfId="5" applyNumberFormat="1" applyFont="1" applyFill="1" applyBorder="1" applyAlignment="1">
      <alignment horizontal="center"/>
    </xf>
    <xf numFmtId="49" fontId="1" fillId="2" borderId="19" xfId="16" applyNumberFormat="1" applyFont="1" applyFill="1" applyBorder="1" applyAlignment="1">
      <alignment horizontal="center" wrapText="1"/>
    </xf>
    <xf numFmtId="49" fontId="1" fillId="2" borderId="0" xfId="0" applyNumberFormat="1" applyFont="1" applyFill="1" applyBorder="1" applyAlignment="1">
      <alignment horizontal="center"/>
    </xf>
    <xf numFmtId="166" fontId="2" fillId="2" borderId="0" xfId="7" applyNumberFormat="1" applyFont="1" applyFill="1" applyBorder="1" applyAlignment="1"/>
    <xf numFmtId="0" fontId="1" fillId="2" borderId="0" xfId="7" applyFont="1" applyFill="1" applyBorder="1" applyAlignment="1">
      <alignment horizontal="left"/>
    </xf>
    <xf numFmtId="0" fontId="1" fillId="2" borderId="0" xfId="7" applyFont="1" applyFill="1" applyAlignment="1">
      <alignment horizontal="left"/>
    </xf>
    <xf numFmtId="168" fontId="1" fillId="2" borderId="0" xfId="7" applyNumberFormat="1" applyFont="1" applyFill="1" applyAlignment="1">
      <alignment horizontal="right"/>
    </xf>
    <xf numFmtId="166" fontId="2" fillId="2" borderId="1" xfId="0" applyNumberFormat="1" applyFont="1" applyFill="1" applyBorder="1" applyAlignment="1">
      <alignment horizontal="right" vertical="top"/>
    </xf>
    <xf numFmtId="0" fontId="3" fillId="2" borderId="0" xfId="5" applyFont="1" applyFill="1" applyBorder="1" applyAlignment="1">
      <alignment horizontal="left" vertical="top" wrapText="1"/>
    </xf>
    <xf numFmtId="166" fontId="3" fillId="2" borderId="0" xfId="0" applyNumberFormat="1" applyFont="1" applyFill="1" applyBorder="1" applyAlignment="1">
      <alignment horizontal="right" vertical="top"/>
    </xf>
    <xf numFmtId="0" fontId="2" fillId="2" borderId="1" xfId="0" applyFont="1" applyFill="1" applyBorder="1" applyAlignment="1">
      <alignment horizontal="center" vertical="top"/>
    </xf>
    <xf numFmtId="0" fontId="14" fillId="2" borderId="0" xfId="0" applyFont="1" applyFill="1"/>
    <xf numFmtId="168" fontId="17" fillId="2" borderId="0" xfId="0" applyNumberFormat="1" applyFont="1" applyFill="1"/>
    <xf numFmtId="168" fontId="3" fillId="2" borderId="0" xfId="0" applyNumberFormat="1" applyFont="1" applyFill="1" applyBorder="1" applyAlignment="1">
      <alignment horizontal="right"/>
    </xf>
    <xf numFmtId="49" fontId="2" fillId="2" borderId="1" xfId="0" applyNumberFormat="1" applyFont="1" applyFill="1" applyBorder="1" applyAlignment="1">
      <alignment vertical="top" wrapText="1"/>
    </xf>
    <xf numFmtId="0" fontId="10" fillId="2" borderId="0" xfId="0" applyFont="1" applyFill="1"/>
    <xf numFmtId="0" fontId="11" fillId="2" borderId="0" xfId="0" applyFont="1" applyFill="1"/>
    <xf numFmtId="0" fontId="26" fillId="2" borderId="0" xfId="0" applyFont="1" applyFill="1"/>
    <xf numFmtId="0" fontId="2" fillId="2" borderId="16" xfId="16" applyFont="1" applyFill="1" applyBorder="1" applyAlignment="1">
      <alignment horizontal="center" vertical="top"/>
    </xf>
    <xf numFmtId="49" fontId="2" fillId="2" borderId="16" xfId="16" applyNumberFormat="1" applyFont="1" applyFill="1" applyBorder="1" applyAlignment="1">
      <alignment horizontal="center" wrapText="1"/>
    </xf>
    <xf numFmtId="49" fontId="2" fillId="2" borderId="16" xfId="16" applyNumberFormat="1" applyFont="1" applyFill="1" applyBorder="1" applyAlignment="1">
      <alignment horizontal="center"/>
    </xf>
    <xf numFmtId="49" fontId="2" fillId="2" borderId="25" xfId="16" applyNumberFormat="1" applyFont="1" applyFill="1" applyBorder="1" applyAlignment="1">
      <alignment horizontal="center"/>
    </xf>
    <xf numFmtId="49" fontId="2" fillId="2" borderId="20" xfId="16" applyNumberFormat="1" applyFont="1" applyFill="1" applyBorder="1" applyAlignment="1">
      <alignment horizontal="center"/>
    </xf>
    <xf numFmtId="49" fontId="2" fillId="2" borderId="26" xfId="16" applyNumberFormat="1" applyFont="1" applyFill="1" applyBorder="1" applyAlignment="1">
      <alignment horizontal="center"/>
    </xf>
    <xf numFmtId="166" fontId="2" fillId="2" borderId="16" xfId="16" applyNumberFormat="1" applyFont="1" applyFill="1" applyBorder="1" applyAlignment="1">
      <alignment horizontal="right"/>
    </xf>
    <xf numFmtId="0" fontId="14" fillId="2" borderId="0" xfId="16" applyFont="1" applyFill="1"/>
    <xf numFmtId="0" fontId="1" fillId="2" borderId="16" xfId="16" applyFont="1" applyFill="1" applyBorder="1" applyAlignment="1">
      <alignment horizontal="center" vertical="top"/>
    </xf>
    <xf numFmtId="49" fontId="1" fillId="2" borderId="16" xfId="11" applyNumberFormat="1" applyFont="1" applyFill="1" applyBorder="1" applyAlignment="1">
      <alignment horizontal="center" wrapText="1"/>
    </xf>
    <xf numFmtId="49" fontId="1" fillId="2" borderId="16" xfId="11" applyNumberFormat="1" applyFont="1" applyFill="1" applyBorder="1" applyAlignment="1">
      <alignment horizontal="center"/>
    </xf>
    <xf numFmtId="49" fontId="1" fillId="2" borderId="17" xfId="16" applyNumberFormat="1" applyFont="1" applyFill="1" applyBorder="1" applyAlignment="1">
      <alignment horizontal="center"/>
    </xf>
    <xf numFmtId="166" fontId="1" fillId="2" borderId="16" xfId="16" applyNumberFormat="1" applyFont="1" applyFill="1" applyBorder="1" applyAlignment="1">
      <alignment horizontal="right"/>
    </xf>
    <xf numFmtId="0" fontId="8" fillId="2" borderId="0" xfId="16" applyFont="1" applyFill="1"/>
    <xf numFmtId="49" fontId="1" fillId="2" borderId="25" xfId="11" applyNumberFormat="1" applyFont="1" applyFill="1" applyBorder="1" applyAlignment="1">
      <alignment horizontal="center"/>
    </xf>
    <xf numFmtId="49" fontId="1" fillId="2" borderId="20" xfId="16" applyNumberFormat="1" applyFont="1" applyFill="1" applyBorder="1" applyAlignment="1">
      <alignment horizontal="center"/>
    </xf>
    <xf numFmtId="49" fontId="1" fillId="2" borderId="26" xfId="16" applyNumberFormat="1" applyFont="1" applyFill="1" applyBorder="1" applyAlignment="1">
      <alignment horizontal="center"/>
    </xf>
    <xf numFmtId="49" fontId="1" fillId="2" borderId="25" xfId="6" applyNumberFormat="1" applyFont="1" applyFill="1" applyBorder="1" applyAlignment="1">
      <alignment horizontal="center"/>
    </xf>
    <xf numFmtId="49" fontId="1" fillId="2" borderId="18" xfId="6" applyNumberFormat="1" applyFont="1" applyFill="1" applyBorder="1" applyAlignment="1">
      <alignment horizontal="center"/>
    </xf>
    <xf numFmtId="0" fontId="1" fillId="2" borderId="16" xfId="5" applyFont="1" applyFill="1" applyBorder="1" applyAlignment="1">
      <alignment horizontal="center" vertical="top"/>
    </xf>
    <xf numFmtId="49" fontId="1" fillId="2" borderId="16" xfId="5" applyNumberFormat="1" applyFont="1" applyFill="1" applyBorder="1" applyAlignment="1">
      <alignment horizontal="center" wrapText="1"/>
    </xf>
    <xf numFmtId="0" fontId="8" fillId="2" borderId="0" xfId="5" applyFont="1" applyFill="1"/>
    <xf numFmtId="0" fontId="14" fillId="2" borderId="0" xfId="5" applyFont="1" applyFill="1"/>
    <xf numFmtId="166" fontId="10" fillId="2" borderId="0" xfId="0" applyNumberFormat="1" applyFont="1" applyFill="1"/>
    <xf numFmtId="166" fontId="11" fillId="2" borderId="0" xfId="0" applyNumberFormat="1" applyFont="1" applyFill="1"/>
    <xf numFmtId="49" fontId="1" fillId="2" borderId="1" xfId="6" applyNumberFormat="1" applyFont="1" applyFill="1" applyBorder="1" applyAlignment="1">
      <alignment horizontal="center" wrapText="1"/>
    </xf>
    <xf numFmtId="168" fontId="8" fillId="2" borderId="0" xfId="7" applyNumberFormat="1" applyFont="1" applyFill="1"/>
    <xf numFmtId="0" fontId="20" fillId="2" borderId="0" xfId="0" applyFont="1" applyFill="1"/>
    <xf numFmtId="168" fontId="20" fillId="2" borderId="0" xfId="0" applyNumberFormat="1" applyFont="1" applyFill="1"/>
    <xf numFmtId="166" fontId="11" fillId="2" borderId="1" xfId="0" applyNumberFormat="1" applyFont="1" applyFill="1" applyBorder="1"/>
    <xf numFmtId="49" fontId="4" fillId="2" borderId="1" xfId="0" applyNumberFormat="1" applyFont="1" applyFill="1" applyBorder="1" applyAlignment="1">
      <alignment horizontal="center"/>
    </xf>
    <xf numFmtId="166" fontId="10" fillId="2" borderId="1" xfId="0" applyNumberFormat="1" applyFont="1" applyFill="1" applyBorder="1"/>
    <xf numFmtId="49" fontId="3" fillId="2" borderId="1" xfId="0" applyNumberFormat="1" applyFont="1" applyFill="1" applyBorder="1" applyAlignment="1">
      <alignment horizontal="left"/>
    </xf>
    <xf numFmtId="168" fontId="3" fillId="2" borderId="1" xfId="0" applyNumberFormat="1" applyFont="1" applyFill="1" applyBorder="1"/>
    <xf numFmtId="172" fontId="8" fillId="2" borderId="0" xfId="0" applyNumberFormat="1" applyFont="1" applyFill="1"/>
    <xf numFmtId="166" fontId="3" fillId="2" borderId="0" xfId="0" applyNumberFormat="1" applyFont="1" applyFill="1" applyAlignment="1">
      <alignment horizontal="right"/>
    </xf>
    <xf numFmtId="49" fontId="1" fillId="2" borderId="16" xfId="12" applyNumberFormat="1" applyFont="1" applyFill="1" applyBorder="1" applyAlignment="1">
      <alignment horizontal="center" wrapText="1"/>
    </xf>
    <xf numFmtId="49" fontId="1" fillId="2" borderId="16" xfId="12" applyNumberFormat="1" applyFont="1" applyFill="1" applyBorder="1" applyAlignment="1">
      <alignment horizontal="center"/>
    </xf>
    <xf numFmtId="49" fontId="1" fillId="2" borderId="17" xfId="12" applyNumberFormat="1" applyFont="1" applyFill="1" applyBorder="1" applyAlignment="1">
      <alignment horizontal="center"/>
    </xf>
    <xf numFmtId="49" fontId="1" fillId="2" borderId="18" xfId="12" applyNumberFormat="1" applyFont="1" applyFill="1" applyBorder="1" applyAlignment="1">
      <alignment horizontal="center"/>
    </xf>
    <xf numFmtId="49" fontId="1" fillId="2" borderId="19" xfId="12" applyNumberFormat="1" applyFont="1" applyFill="1" applyBorder="1" applyAlignment="1">
      <alignment horizontal="center"/>
    </xf>
    <xf numFmtId="172" fontId="8" fillId="2" borderId="0" xfId="16" applyNumberFormat="1" applyFont="1" applyFill="1"/>
    <xf numFmtId="49" fontId="1" fillId="2" borderId="0" xfId="16" applyNumberFormat="1" applyFont="1" applyFill="1" applyBorder="1" applyAlignment="1">
      <alignment horizontal="center"/>
    </xf>
    <xf numFmtId="0" fontId="1" fillId="2" borderId="21" xfId="14" applyFont="1" applyFill="1" applyBorder="1" applyAlignment="1">
      <alignment horizontal="center" vertical="top"/>
    </xf>
    <xf numFmtId="49" fontId="1" fillId="2" borderId="27" xfId="11" applyNumberFormat="1" applyFont="1" applyFill="1" applyBorder="1" applyAlignment="1">
      <alignment horizontal="center" wrapText="1"/>
    </xf>
    <xf numFmtId="49" fontId="1" fillId="2" borderId="27" xfId="11" applyNumberFormat="1" applyFont="1" applyFill="1" applyBorder="1" applyAlignment="1">
      <alignment horizontal="center"/>
    </xf>
    <xf numFmtId="166" fontId="1" fillId="2" borderId="21" xfId="14" applyNumberFormat="1" applyFont="1" applyFill="1" applyBorder="1" applyAlignment="1">
      <alignment horizontal="right"/>
    </xf>
    <xf numFmtId="172" fontId="8" fillId="2" borderId="0" xfId="14" applyNumberFormat="1" applyFont="1" applyFill="1"/>
    <xf numFmtId="0" fontId="8" fillId="2" borderId="0" xfId="14" applyFont="1" applyFill="1"/>
    <xf numFmtId="0" fontId="1" fillId="2" borderId="16" xfId="14" applyFont="1" applyFill="1" applyBorder="1" applyAlignment="1">
      <alignment horizontal="center" vertical="top"/>
    </xf>
    <xf numFmtId="166" fontId="1" fillId="2" borderId="16" xfId="14" applyNumberFormat="1" applyFont="1" applyFill="1" applyBorder="1" applyAlignment="1">
      <alignment horizontal="right"/>
    </xf>
    <xf numFmtId="49" fontId="1" fillId="2" borderId="26" xfId="14" applyNumberFormat="1" applyFont="1" applyFill="1" applyBorder="1" applyAlignment="1">
      <alignment horizontal="center"/>
    </xf>
    <xf numFmtId="49" fontId="1" fillId="2" borderId="23" xfId="14" applyNumberFormat="1" applyFont="1" applyFill="1" applyBorder="1" applyAlignment="1">
      <alignment horizontal="center"/>
    </xf>
    <xf numFmtId="0" fontId="1" fillId="2" borderId="23" xfId="14" applyFont="1" applyFill="1" applyBorder="1" applyAlignment="1">
      <alignment horizontal="center" vertical="top"/>
    </xf>
    <xf numFmtId="49" fontId="1" fillId="2" borderId="23" xfId="11" applyNumberFormat="1" applyFont="1" applyFill="1" applyBorder="1" applyAlignment="1">
      <alignment horizontal="center" wrapText="1"/>
    </xf>
    <xf numFmtId="166" fontId="1" fillId="2" borderId="16" xfId="5" applyNumberFormat="1" applyFont="1" applyFill="1" applyBorder="1" applyAlignment="1">
      <alignment horizontal="right"/>
    </xf>
    <xf numFmtId="169" fontId="10" fillId="2" borderId="0" xfId="0" applyNumberFormat="1" applyFont="1" applyFill="1"/>
    <xf numFmtId="169" fontId="14" fillId="2" borderId="0" xfId="0" applyNumberFormat="1" applyFont="1" applyFill="1"/>
    <xf numFmtId="0" fontId="1" fillId="2" borderId="0" xfId="0" applyFont="1" applyFill="1" applyBorder="1" applyAlignment="1">
      <alignment horizontal="center" vertical="top"/>
    </xf>
    <xf numFmtId="49" fontId="1" fillId="2" borderId="0" xfId="0" applyNumberFormat="1" applyFont="1" applyFill="1" applyBorder="1" applyAlignment="1">
      <alignment horizontal="center" wrapText="1"/>
    </xf>
    <xf numFmtId="166" fontId="1" fillId="2" borderId="0" xfId="0" applyNumberFormat="1" applyFont="1" applyFill="1" applyBorder="1" applyAlignment="1">
      <alignment horizontal="right"/>
    </xf>
    <xf numFmtId="0" fontId="26" fillId="2" borderId="0" xfId="0" applyFont="1" applyFill="1" applyBorder="1"/>
    <xf numFmtId="166" fontId="11" fillId="2" borderId="0" xfId="0" applyNumberFormat="1" applyFont="1" applyFill="1" applyBorder="1"/>
    <xf numFmtId="166" fontId="10" fillId="2" borderId="0" xfId="0" applyNumberFormat="1" applyFont="1" applyFill="1" applyBorder="1"/>
    <xf numFmtId="170" fontId="1" fillId="2" borderId="0" xfId="1" applyNumberFormat="1" applyFont="1" applyFill="1" applyAlignment="1">
      <alignment horizontal="right"/>
    </xf>
    <xf numFmtId="170" fontId="1" fillId="2" borderId="1" xfId="1" applyNumberFormat="1" applyFont="1" applyFill="1" applyBorder="1" applyAlignment="1">
      <alignment horizontal="center" vertical="center" wrapText="1"/>
    </xf>
    <xf numFmtId="3" fontId="1" fillId="2" borderId="1" xfId="1" applyNumberFormat="1" applyFont="1" applyFill="1" applyBorder="1" applyAlignment="1">
      <alignment horizontal="center" vertical="center" wrapText="1"/>
    </xf>
    <xf numFmtId="167" fontId="2" fillId="2" borderId="1" xfId="1" applyNumberFormat="1" applyFont="1" applyFill="1" applyBorder="1" applyAlignment="1">
      <alignment horizontal="right"/>
    </xf>
    <xf numFmtId="167" fontId="1" fillId="2" borderId="1" xfId="1" applyNumberFormat="1" applyFont="1" applyFill="1" applyBorder="1" applyAlignment="1"/>
    <xf numFmtId="167" fontId="2" fillId="2" borderId="1" xfId="10" applyNumberFormat="1" applyFont="1" applyFill="1" applyBorder="1" applyAlignment="1">
      <alignment vertical="top"/>
    </xf>
    <xf numFmtId="170" fontId="1" fillId="2" borderId="0" xfId="1" applyNumberFormat="1" applyFont="1" applyFill="1"/>
    <xf numFmtId="170" fontId="1" fillId="2" borderId="0" xfId="7" applyNumberFormat="1" applyFont="1" applyFill="1" applyBorder="1"/>
    <xf numFmtId="0" fontId="1" fillId="2" borderId="0" xfId="1" applyFont="1" applyFill="1"/>
    <xf numFmtId="167" fontId="1" fillId="2" borderId="1" xfId="1" applyNumberFormat="1" applyFont="1" applyFill="1" applyBorder="1" applyAlignment="1">
      <alignment horizontal="right" vertical="top"/>
    </xf>
    <xf numFmtId="0" fontId="6" fillId="2" borderId="0" xfId="0" applyFont="1" applyFill="1" applyAlignment="1">
      <alignment vertical="top"/>
    </xf>
    <xf numFmtId="0" fontId="6" fillId="2" borderId="0" xfId="0" applyFont="1" applyFill="1" applyAlignment="1">
      <alignment horizontal="center" vertical="top"/>
    </xf>
    <xf numFmtId="0" fontId="3" fillId="2" borderId="0" xfId="0" applyFont="1" applyFill="1" applyAlignment="1">
      <alignment horizontal="center" vertical="top"/>
    </xf>
    <xf numFmtId="166" fontId="1" fillId="2" borderId="23" xfId="16" applyNumberFormat="1" applyFont="1" applyFill="1" applyBorder="1" applyAlignment="1">
      <alignment horizontal="right"/>
    </xf>
    <xf numFmtId="166" fontId="1" fillId="2" borderId="1" xfId="3" applyNumberFormat="1" applyFont="1" applyFill="1" applyBorder="1" applyAlignment="1">
      <alignment horizontal="right" wrapText="1"/>
    </xf>
    <xf numFmtId="0" fontId="2" fillId="2" borderId="1" xfId="3" applyFont="1" applyFill="1" applyBorder="1" applyAlignment="1">
      <alignment wrapText="1"/>
    </xf>
    <xf numFmtId="0" fontId="1" fillId="2" borderId="1" xfId="3" applyFont="1" applyFill="1" applyBorder="1" applyAlignment="1">
      <alignment wrapText="1"/>
    </xf>
    <xf numFmtId="49" fontId="3" fillId="2" borderId="1" xfId="3" applyNumberFormat="1" applyFont="1" applyFill="1" applyBorder="1" applyAlignment="1">
      <alignment horizontal="center" vertical="top"/>
    </xf>
    <xf numFmtId="0" fontId="3" fillId="2" borderId="1" xfId="3" applyFont="1" applyFill="1" applyBorder="1" applyAlignment="1">
      <alignment wrapText="1"/>
    </xf>
    <xf numFmtId="166" fontId="3" fillId="2" borderId="1" xfId="3" applyNumberFormat="1" applyFont="1" applyFill="1" applyBorder="1" applyAlignment="1">
      <alignment horizontal="right" wrapText="1"/>
    </xf>
    <xf numFmtId="0" fontId="13" fillId="2" borderId="0" xfId="3" applyFont="1" applyFill="1"/>
    <xf numFmtId="2" fontId="17" fillId="2" borderId="0" xfId="0" applyNumberFormat="1" applyFont="1" applyFill="1"/>
    <xf numFmtId="0" fontId="3" fillId="2" borderId="1" xfId="0" applyFont="1" applyFill="1" applyBorder="1" applyAlignment="1">
      <alignment wrapText="1"/>
    </xf>
    <xf numFmtId="0" fontId="1" fillId="2" borderId="1" xfId="0" applyFont="1" applyFill="1" applyBorder="1" applyAlignment="1">
      <alignment vertical="top" wrapText="1"/>
    </xf>
    <xf numFmtId="49" fontId="3" fillId="2" borderId="2" xfId="0" applyNumberFormat="1" applyFont="1" applyFill="1" applyBorder="1" applyAlignment="1">
      <alignment horizontal="center"/>
    </xf>
    <xf numFmtId="49" fontId="3" fillId="2" borderId="9" xfId="0" applyNumberFormat="1" applyFont="1" applyFill="1" applyBorder="1" applyAlignment="1">
      <alignment horizontal="center"/>
    </xf>
    <xf numFmtId="49" fontId="3" fillId="2" borderId="3" xfId="0" applyNumberFormat="1" applyFont="1" applyFill="1" applyBorder="1" applyAlignment="1">
      <alignment horizontal="center"/>
    </xf>
    <xf numFmtId="166" fontId="3" fillId="2" borderId="1" xfId="0" applyNumberFormat="1" applyFont="1" applyFill="1" applyBorder="1" applyAlignment="1">
      <alignment horizontal="right"/>
    </xf>
    <xf numFmtId="49" fontId="1" fillId="2" borderId="0" xfId="12" applyNumberFormat="1" applyFont="1" applyFill="1" applyBorder="1" applyAlignment="1">
      <alignment horizontal="center"/>
    </xf>
    <xf numFmtId="49" fontId="1" fillId="2" borderId="1" xfId="12" applyNumberFormat="1" applyFont="1" applyFill="1" applyBorder="1" applyAlignment="1">
      <alignment horizontal="center"/>
    </xf>
    <xf numFmtId="0" fontId="1" fillId="2" borderId="1" xfId="16" applyFont="1" applyFill="1" applyBorder="1" applyAlignment="1">
      <alignment horizontal="center" vertical="top"/>
    </xf>
    <xf numFmtId="49" fontId="3" fillId="2" borderId="3" xfId="0" applyNumberFormat="1" applyFont="1" applyFill="1" applyBorder="1" applyAlignment="1">
      <alignment wrapText="1"/>
    </xf>
    <xf numFmtId="49" fontId="3" fillId="2" borderId="1" xfId="0" applyNumberFormat="1" applyFont="1" applyFill="1" applyBorder="1" applyAlignment="1">
      <alignment horizontal="center" wrapText="1"/>
    </xf>
    <xf numFmtId="166" fontId="3" fillId="2" borderId="1" xfId="7" applyNumberFormat="1" applyFont="1" applyFill="1" applyBorder="1" applyAlignment="1">
      <alignment horizontal="right"/>
    </xf>
    <xf numFmtId="0" fontId="3" fillId="0" borderId="1" xfId="0" applyFont="1" applyBorder="1" applyAlignment="1">
      <alignment horizontal="center" vertical="top" wrapText="1"/>
    </xf>
    <xf numFmtId="0" fontId="1" fillId="0" borderId="7" xfId="3" applyFont="1" applyBorder="1" applyAlignment="1">
      <alignment horizontal="justify" vertical="top" wrapText="1"/>
    </xf>
    <xf numFmtId="166" fontId="1" fillId="0" borderId="5" xfId="3" applyNumberFormat="1" applyFont="1" applyBorder="1" applyAlignment="1">
      <alignment horizontal="center"/>
    </xf>
    <xf numFmtId="0" fontId="1" fillId="0" borderId="0" xfId="3" applyFont="1" applyBorder="1" applyAlignment="1">
      <alignment horizontal="left" wrapText="1"/>
    </xf>
    <xf numFmtId="166" fontId="1" fillId="0" borderId="12" xfId="3" applyNumberFormat="1" applyFont="1" applyBorder="1" applyAlignment="1">
      <alignment horizontal="center"/>
    </xf>
    <xf numFmtId="0" fontId="1" fillId="0" borderId="4" xfId="3" applyFont="1" applyBorder="1" applyAlignment="1">
      <alignment horizontal="left" wrapText="1"/>
    </xf>
    <xf numFmtId="167" fontId="1" fillId="0" borderId="8" xfId="3" applyNumberFormat="1" applyFont="1" applyBorder="1" applyAlignment="1">
      <alignment horizontal="center"/>
    </xf>
    <xf numFmtId="167" fontId="1" fillId="0" borderId="11" xfId="3" applyNumberFormat="1" applyFont="1" applyBorder="1" applyAlignment="1">
      <alignment horizontal="center"/>
    </xf>
    <xf numFmtId="167" fontId="1" fillId="0" borderId="10" xfId="3" applyNumberFormat="1" applyFont="1" applyBorder="1" applyAlignment="1">
      <alignment horizontal="center"/>
    </xf>
    <xf numFmtId="0" fontId="3" fillId="2" borderId="1" xfId="5" applyFont="1" applyFill="1" applyBorder="1" applyAlignment="1">
      <alignment horizontal="left" vertical="top" wrapText="1"/>
    </xf>
    <xf numFmtId="0" fontId="2" fillId="2" borderId="1" xfId="7" applyFont="1" applyFill="1" applyBorder="1" applyAlignment="1">
      <alignment vertical="top" wrapText="1"/>
    </xf>
    <xf numFmtId="0" fontId="1" fillId="2" borderId="1" xfId="7" applyFont="1" applyFill="1" applyBorder="1" applyAlignment="1">
      <alignment vertical="top" wrapText="1"/>
    </xf>
    <xf numFmtId="0" fontId="1" fillId="2" borderId="1" xfId="0" applyFont="1" applyFill="1" applyBorder="1" applyAlignment="1">
      <alignment horizontal="left" wrapText="1"/>
    </xf>
    <xf numFmtId="0" fontId="12" fillId="2" borderId="0" xfId="1" applyFont="1" applyFill="1"/>
    <xf numFmtId="0" fontId="6" fillId="2" borderId="1" xfId="0" applyFont="1" applyFill="1" applyBorder="1" applyAlignment="1">
      <alignment horizontal="left" vertical="top" wrapText="1"/>
    </xf>
    <xf numFmtId="0" fontId="6" fillId="2" borderId="1" xfId="0" applyFont="1" applyFill="1" applyBorder="1" applyAlignment="1">
      <alignment vertical="top" wrapText="1"/>
    </xf>
    <xf numFmtId="0" fontId="1" fillId="2" borderId="0" xfId="3" applyFont="1" applyFill="1"/>
    <xf numFmtId="0" fontId="3" fillId="2" borderId="1" xfId="7" applyFont="1" applyFill="1" applyBorder="1" applyAlignment="1">
      <alignment horizontal="center"/>
    </xf>
    <xf numFmtId="1" fontId="3" fillId="2" borderId="1" xfId="7" applyNumberFormat="1" applyFont="1" applyFill="1" applyBorder="1" applyAlignment="1">
      <alignment horizontal="center"/>
    </xf>
    <xf numFmtId="0" fontId="2" fillId="2" borderId="1" xfId="3" applyFont="1" applyFill="1" applyBorder="1" applyAlignment="1">
      <alignment horizontal="center" vertical="top" wrapText="1"/>
    </xf>
    <xf numFmtId="0" fontId="4" fillId="2" borderId="1" xfId="3" applyFont="1" applyFill="1" applyBorder="1" applyAlignment="1">
      <alignment horizontal="center" vertical="top" wrapText="1"/>
    </xf>
    <xf numFmtId="0" fontId="2" fillId="2" borderId="1" xfId="3" applyFont="1" applyFill="1" applyBorder="1" applyAlignment="1">
      <alignment horizontal="center" vertical="top"/>
    </xf>
    <xf numFmtId="166" fontId="4" fillId="2" borderId="1" xfId="3" applyNumberFormat="1" applyFont="1" applyFill="1" applyBorder="1" applyAlignment="1">
      <alignment horizontal="right" wrapText="1"/>
    </xf>
    <xf numFmtId="0" fontId="3" fillId="2" borderId="1" xfId="3" applyFont="1" applyFill="1" applyBorder="1" applyAlignment="1">
      <alignment horizontal="center" vertical="top" wrapText="1"/>
    </xf>
    <xf numFmtId="0" fontId="1" fillId="2" borderId="1" xfId="3" applyFont="1" applyFill="1" applyBorder="1" applyAlignment="1">
      <alignment horizontal="center" vertical="top"/>
    </xf>
    <xf numFmtId="49" fontId="3" fillId="2" borderId="1" xfId="9" applyNumberFormat="1" applyFont="1" applyFill="1" applyBorder="1" applyAlignment="1">
      <alignment wrapText="1"/>
    </xf>
    <xf numFmtId="166" fontId="2" fillId="2" borderId="1" xfId="3" applyNumberFormat="1" applyFont="1" applyFill="1" applyBorder="1" applyAlignment="1"/>
    <xf numFmtId="0" fontId="13" fillId="2" borderId="1" xfId="3" applyFont="1" applyFill="1" applyBorder="1" applyAlignment="1">
      <alignment vertical="top"/>
    </xf>
    <xf numFmtId="166" fontId="1" fillId="2" borderId="1" xfId="3" applyNumberFormat="1" applyFont="1" applyFill="1" applyBorder="1" applyAlignment="1"/>
    <xf numFmtId="49" fontId="3" fillId="2" borderId="1" xfId="7" applyNumberFormat="1" applyFont="1" applyFill="1" applyBorder="1" applyAlignment="1">
      <alignment horizontal="center"/>
    </xf>
    <xf numFmtId="49" fontId="3" fillId="2" borderId="1" xfId="7" applyNumberFormat="1" applyFont="1" applyFill="1" applyBorder="1" applyAlignment="1">
      <alignment horizontal="left" wrapText="1"/>
    </xf>
    <xf numFmtId="49" fontId="3" fillId="2" borderId="1" xfId="7" applyNumberFormat="1" applyFont="1" applyFill="1" applyBorder="1" applyAlignment="1">
      <alignment horizontal="center" wrapText="1"/>
    </xf>
    <xf numFmtId="49" fontId="2" fillId="2" borderId="2" xfId="7" applyNumberFormat="1" applyFont="1" applyFill="1" applyBorder="1" applyAlignment="1">
      <alignment horizontal="center"/>
    </xf>
    <xf numFmtId="49" fontId="1" fillId="2" borderId="1" xfId="7" applyNumberFormat="1" applyFont="1" applyFill="1" applyBorder="1" applyAlignment="1">
      <alignment horizontal="center" wrapText="1"/>
    </xf>
    <xf numFmtId="170" fontId="1" fillId="2" borderId="0" xfId="7" applyNumberFormat="1" applyFont="1" applyFill="1" applyBorder="1" applyAlignment="1">
      <alignment horizontal="right"/>
    </xf>
    <xf numFmtId="0" fontId="3" fillId="2" borderId="9" xfId="3" applyFont="1" applyFill="1" applyBorder="1" applyAlignment="1">
      <alignment horizontal="center" wrapText="1"/>
    </xf>
    <xf numFmtId="0" fontId="3" fillId="2" borderId="1" xfId="3" applyFont="1" applyFill="1" applyBorder="1" applyAlignment="1">
      <alignment horizontal="center" wrapText="1"/>
    </xf>
    <xf numFmtId="0" fontId="4" fillId="2" borderId="5" xfId="3" applyFont="1" applyFill="1" applyBorder="1" applyAlignment="1">
      <alignment horizontal="center" vertical="top"/>
    </xf>
    <xf numFmtId="174" fontId="4" fillId="2" borderId="5" xfId="13" applyNumberFormat="1" applyFont="1" applyFill="1" applyBorder="1" applyAlignment="1">
      <alignment horizontal="right" vertical="center"/>
    </xf>
    <xf numFmtId="0" fontId="4" fillId="2" borderId="12" xfId="3" applyFont="1" applyFill="1" applyBorder="1" applyAlignment="1">
      <alignment horizontal="center" vertical="top"/>
    </xf>
    <xf numFmtId="0" fontId="3" fillId="2" borderId="12" xfId="3" applyFont="1" applyFill="1" applyBorder="1" applyAlignment="1">
      <alignment horizontal="center" vertical="top"/>
    </xf>
    <xf numFmtId="0" fontId="3" fillId="2" borderId="13" xfId="3" applyFont="1" applyFill="1" applyBorder="1" applyAlignment="1">
      <alignment horizontal="center" vertical="top"/>
    </xf>
    <xf numFmtId="166" fontId="4" fillId="2" borderId="1" xfId="7" applyNumberFormat="1" applyFont="1" applyFill="1" applyBorder="1" applyAlignment="1">
      <alignment horizontal="right"/>
    </xf>
    <xf numFmtId="166" fontId="3" fillId="2" borderId="1" xfId="0" applyNumberFormat="1" applyFont="1" applyFill="1" applyBorder="1"/>
    <xf numFmtId="166" fontId="2" fillId="2" borderId="1" xfId="19" applyNumberFormat="1" applyFont="1" applyFill="1" applyBorder="1" applyAlignment="1">
      <alignment horizontal="right" vertical="top"/>
    </xf>
    <xf numFmtId="166" fontId="1" fillId="2" borderId="1" xfId="19" applyNumberFormat="1" applyFont="1" applyFill="1" applyBorder="1" applyAlignment="1">
      <alignment horizontal="right"/>
    </xf>
    <xf numFmtId="166" fontId="1" fillId="2" borderId="23" xfId="14" applyNumberFormat="1" applyFont="1" applyFill="1" applyBorder="1" applyAlignment="1">
      <alignment horizontal="right"/>
    </xf>
    <xf numFmtId="166" fontId="1" fillId="2" borderId="1" xfId="16" applyNumberFormat="1" applyFont="1" applyFill="1" applyBorder="1" applyAlignment="1">
      <alignment horizontal="right"/>
    </xf>
    <xf numFmtId="0" fontId="1" fillId="2" borderId="0" xfId="1" applyFont="1" applyFill="1" applyBorder="1" applyAlignment="1">
      <alignment wrapText="1"/>
    </xf>
    <xf numFmtId="0" fontId="1" fillId="2" borderId="1" xfId="1" applyFont="1" applyFill="1" applyBorder="1" applyAlignment="1">
      <alignment horizontal="center" vertical="top"/>
    </xf>
    <xf numFmtId="0" fontId="1" fillId="2" borderId="1" xfId="1" applyFont="1" applyFill="1" applyBorder="1" applyAlignment="1">
      <alignment vertical="top"/>
    </xf>
    <xf numFmtId="0" fontId="1" fillId="2" borderId="0" xfId="7" applyFont="1" applyFill="1" applyBorder="1"/>
    <xf numFmtId="0" fontId="1" fillId="2" borderId="0" xfId="7" applyFont="1" applyFill="1" applyAlignment="1">
      <alignment wrapText="1"/>
    </xf>
    <xf numFmtId="166" fontId="1" fillId="2" borderId="21" xfId="16" applyNumberFormat="1" applyFont="1" applyFill="1" applyBorder="1" applyAlignment="1">
      <alignment horizontal="right"/>
    </xf>
    <xf numFmtId="0" fontId="3" fillId="2" borderId="0" xfId="0" applyFont="1" applyFill="1" applyAlignment="1"/>
    <xf numFmtId="0" fontId="4" fillId="2" borderId="1" xfId="0" applyFont="1" applyFill="1" applyBorder="1" applyAlignment="1">
      <alignment vertical="top"/>
    </xf>
    <xf numFmtId="166" fontId="4" fillId="2" borderId="1" xfId="0" applyNumberFormat="1" applyFont="1" applyFill="1" applyBorder="1" applyAlignment="1">
      <alignment vertical="top"/>
    </xf>
    <xf numFmtId="0" fontId="1" fillId="2" borderId="1" xfId="1" applyFont="1" applyFill="1" applyBorder="1" applyAlignment="1">
      <alignment wrapText="1"/>
    </xf>
    <xf numFmtId="3" fontId="1" fillId="2" borderId="0" xfId="1" applyNumberFormat="1" applyFont="1" applyFill="1"/>
    <xf numFmtId="0" fontId="18" fillId="2" borderId="0" xfId="1" applyFont="1" applyFill="1" applyAlignment="1">
      <alignment vertical="top" wrapText="1"/>
    </xf>
    <xf numFmtId="0" fontId="1" fillId="2" borderId="0" xfId="1" applyFont="1" applyFill="1" applyAlignment="1">
      <alignment horizontal="center" vertical="center"/>
    </xf>
    <xf numFmtId="0" fontId="18" fillId="2" borderId="0" xfId="1" applyFont="1" applyFill="1" applyAlignment="1">
      <alignment horizontal="right" vertical="top" wrapText="1"/>
    </xf>
    <xf numFmtId="166" fontId="1" fillId="2" borderId="1" xfId="1" applyNumberFormat="1" applyFont="1" applyFill="1" applyBorder="1" applyAlignment="1"/>
    <xf numFmtId="166" fontId="6" fillId="2" borderId="1" xfId="1" applyNumberFormat="1" applyFont="1" applyFill="1" applyBorder="1" applyAlignment="1">
      <alignment horizontal="right"/>
    </xf>
    <xf numFmtId="0" fontId="6" fillId="2" borderId="0" xfId="7" applyFont="1" applyFill="1" applyBorder="1" applyAlignment="1">
      <alignment wrapText="1"/>
    </xf>
    <xf numFmtId="166" fontId="6" fillId="2" borderId="0" xfId="1" applyNumberFormat="1" applyFont="1" applyFill="1" applyBorder="1" applyAlignment="1">
      <alignment horizontal="right"/>
    </xf>
    <xf numFmtId="0" fontId="1" fillId="2" borderId="0" xfId="7" applyFont="1" applyFill="1"/>
    <xf numFmtId="3" fontId="1" fillId="2" borderId="0" xfId="7" applyNumberFormat="1" applyFont="1" applyFill="1" applyBorder="1"/>
    <xf numFmtId="166" fontId="1" fillId="2" borderId="19" xfId="16" applyNumberFormat="1" applyFont="1" applyFill="1" applyBorder="1" applyAlignment="1">
      <alignment horizontal="right"/>
    </xf>
    <xf numFmtId="0" fontId="1" fillId="2" borderId="1" xfId="0" applyFont="1" applyFill="1" applyBorder="1"/>
    <xf numFmtId="49" fontId="1" fillId="2" borderId="31" xfId="16" applyNumberFormat="1" applyFont="1" applyFill="1" applyBorder="1" applyAlignment="1">
      <alignment horizontal="center"/>
    </xf>
    <xf numFmtId="49" fontId="1" fillId="2" borderId="23" xfId="11" applyNumberFormat="1" applyFont="1" applyFill="1" applyBorder="1" applyAlignment="1">
      <alignment horizontal="center"/>
    </xf>
    <xf numFmtId="49" fontId="1" fillId="2" borderId="33" xfId="12" applyNumberFormat="1" applyFont="1" applyFill="1" applyBorder="1" applyAlignment="1">
      <alignment horizontal="center"/>
    </xf>
    <xf numFmtId="166" fontId="1" fillId="2" borderId="32" xfId="16" applyNumberFormat="1" applyFont="1" applyFill="1" applyBorder="1" applyAlignment="1">
      <alignment horizontal="right"/>
    </xf>
    <xf numFmtId="0" fontId="1" fillId="2" borderId="1" xfId="1" applyFont="1" applyFill="1" applyBorder="1" applyAlignment="1">
      <alignment horizontal="center" vertical="center"/>
    </xf>
    <xf numFmtId="0" fontId="1" fillId="2" borderId="1" xfId="1" applyFont="1" applyFill="1" applyBorder="1" applyAlignment="1">
      <alignment horizontal="center" vertical="center" wrapText="1"/>
    </xf>
    <xf numFmtId="0" fontId="1" fillId="0" borderId="0" xfId="7" applyFont="1" applyFill="1" applyBorder="1" applyAlignment="1">
      <alignment horizontal="left"/>
    </xf>
    <xf numFmtId="0" fontId="1" fillId="0" borderId="0" xfId="7" applyFont="1" applyFill="1" applyAlignment="1">
      <alignment horizontal="left"/>
    </xf>
    <xf numFmtId="0" fontId="1" fillId="0" borderId="0" xfId="3" applyFont="1" applyAlignment="1">
      <alignment wrapText="1"/>
    </xf>
    <xf numFmtId="0" fontId="1" fillId="0" borderId="1" xfId="3" applyFont="1" applyBorder="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center"/>
    </xf>
    <xf numFmtId="0" fontId="1" fillId="0" borderId="5" xfId="3" applyFont="1" applyBorder="1" applyAlignment="1">
      <alignment horizontal="center" vertical="center" wrapText="1"/>
    </xf>
    <xf numFmtId="0" fontId="1" fillId="2" borderId="1" xfId="1" applyFont="1" applyFill="1" applyBorder="1" applyAlignment="1">
      <alignment horizontal="center"/>
    </xf>
    <xf numFmtId="0" fontId="3" fillId="2" borderId="0" xfId="3" applyFont="1" applyFill="1"/>
    <xf numFmtId="168" fontId="3" fillId="2" borderId="0" xfId="3" applyNumberFormat="1" applyFont="1" applyFill="1"/>
    <xf numFmtId="170" fontId="3" fillId="2" borderId="0" xfId="1" applyNumberFormat="1" applyFont="1" applyFill="1" applyAlignment="1">
      <alignment horizontal="right"/>
    </xf>
    <xf numFmtId="0" fontId="3" fillId="2" borderId="1" xfId="3" applyFont="1" applyFill="1" applyBorder="1"/>
    <xf numFmtId="0" fontId="4" fillId="2" borderId="1" xfId="3" applyFont="1" applyFill="1" applyBorder="1" applyAlignment="1"/>
    <xf numFmtId="166" fontId="4" fillId="2" borderId="1" xfId="10" applyNumberFormat="1" applyFont="1" applyFill="1" applyBorder="1" applyAlignment="1">
      <alignment horizontal="right" wrapText="1"/>
    </xf>
    <xf numFmtId="166" fontId="3" fillId="2" borderId="0" xfId="3" applyNumberFormat="1" applyFont="1" applyFill="1"/>
    <xf numFmtId="0" fontId="3" fillId="2" borderId="1" xfId="3" applyFont="1" applyFill="1" applyBorder="1" applyAlignment="1">
      <alignment horizontal="left"/>
    </xf>
    <xf numFmtId="49" fontId="4" fillId="2" borderId="1" xfId="3" applyNumberFormat="1" applyFont="1" applyFill="1" applyBorder="1" applyAlignment="1">
      <alignment horizontal="center" vertical="top"/>
    </xf>
    <xf numFmtId="0" fontId="4" fillId="2" borderId="1" xfId="3" applyFont="1" applyFill="1" applyBorder="1" applyAlignment="1">
      <alignment wrapText="1"/>
    </xf>
    <xf numFmtId="0" fontId="4" fillId="2" borderId="0" xfId="3" applyFont="1" applyFill="1"/>
    <xf numFmtId="0" fontId="4" fillId="2" borderId="1" xfId="3" applyFont="1" applyFill="1" applyBorder="1" applyAlignment="1">
      <alignment horizontal="center" vertical="top"/>
    </xf>
    <xf numFmtId="0" fontId="3" fillId="2" borderId="1" xfId="3" applyFont="1" applyFill="1" applyBorder="1" applyAlignment="1">
      <alignment horizontal="center" vertical="top"/>
    </xf>
    <xf numFmtId="0" fontId="3" fillId="2" borderId="1" xfId="3" applyFont="1" applyFill="1" applyBorder="1" applyAlignment="1"/>
    <xf numFmtId="166" fontId="4" fillId="2" borderId="1" xfId="3" applyNumberFormat="1" applyFont="1" applyFill="1" applyBorder="1" applyAlignment="1"/>
    <xf numFmtId="0" fontId="3" fillId="2" borderId="1" xfId="3" applyFont="1" applyFill="1" applyBorder="1" applyAlignment="1">
      <alignment vertical="top"/>
    </xf>
    <xf numFmtId="166" fontId="3" fillId="2" borderId="1" xfId="3" applyNumberFormat="1" applyFont="1" applyFill="1" applyBorder="1" applyAlignment="1"/>
    <xf numFmtId="0" fontId="28" fillId="2" borderId="1" xfId="3" applyFont="1" applyFill="1" applyBorder="1"/>
    <xf numFmtId="49" fontId="3" fillId="2" borderId="0" xfId="7" applyNumberFormat="1" applyFont="1" applyFill="1" applyBorder="1" applyAlignment="1">
      <alignment horizontal="center"/>
    </xf>
    <xf numFmtId="168" fontId="3" fillId="2" borderId="0" xfId="7" applyNumberFormat="1" applyFont="1" applyFill="1"/>
    <xf numFmtId="0" fontId="3" fillId="2" borderId="0" xfId="7" applyFont="1" applyFill="1"/>
    <xf numFmtId="0" fontId="3" fillId="2" borderId="1" xfId="3" applyFont="1" applyFill="1" applyBorder="1" applyAlignment="1">
      <alignment horizontal="center"/>
    </xf>
    <xf numFmtId="167" fontId="4" fillId="2" borderId="1" xfId="0" applyNumberFormat="1" applyFont="1" applyFill="1" applyBorder="1" applyAlignment="1">
      <alignment horizontal="right"/>
    </xf>
    <xf numFmtId="167" fontId="3" fillId="2" borderId="1" xfId="0" applyNumberFormat="1" applyFont="1" applyFill="1" applyBorder="1" applyAlignment="1">
      <alignment horizontal="right"/>
    </xf>
    <xf numFmtId="167" fontId="1" fillId="2" borderId="1" xfId="0" applyNumberFormat="1" applyFont="1" applyFill="1" applyBorder="1" applyAlignment="1">
      <alignment horizontal="right"/>
    </xf>
    <xf numFmtId="167" fontId="1" fillId="2" borderId="1" xfId="1" applyNumberFormat="1" applyFont="1" applyFill="1" applyBorder="1" applyAlignment="1">
      <alignment horizontal="right"/>
    </xf>
    <xf numFmtId="167" fontId="3" fillId="2" borderId="1" xfId="0" applyNumberFormat="1" applyFont="1" applyFill="1" applyBorder="1" applyAlignment="1">
      <alignment horizontal="right" vertical="top"/>
    </xf>
    <xf numFmtId="167" fontId="1" fillId="2" borderId="1" xfId="0" applyNumberFormat="1" applyFont="1" applyFill="1" applyBorder="1" applyAlignment="1">
      <alignment horizontal="right" vertical="top"/>
    </xf>
    <xf numFmtId="0" fontId="11" fillId="2" borderId="0" xfId="7" applyFont="1" applyFill="1" applyAlignment="1">
      <alignment wrapText="1"/>
    </xf>
    <xf numFmtId="0" fontId="11" fillId="2" borderId="0" xfId="7" applyFont="1" applyFill="1" applyAlignment="1"/>
    <xf numFmtId="174" fontId="1" fillId="2" borderId="12" xfId="19" applyNumberFormat="1" applyFont="1" applyFill="1" applyBorder="1" applyAlignment="1">
      <alignment vertical="top"/>
    </xf>
    <xf numFmtId="174" fontId="3" fillId="2" borderId="12" xfId="0" applyNumberFormat="1" applyFont="1" applyFill="1" applyBorder="1"/>
    <xf numFmtId="174" fontId="3" fillId="2" borderId="12" xfId="0" applyNumberFormat="1" applyFont="1" applyFill="1" applyBorder="1" applyAlignment="1">
      <alignment vertical="top"/>
    </xf>
    <xf numFmtId="174" fontId="3" fillId="2" borderId="13" xfId="0" applyNumberFormat="1" applyFont="1" applyFill="1" applyBorder="1" applyAlignment="1">
      <alignment vertical="top"/>
    </xf>
    <xf numFmtId="0" fontId="4" fillId="2" borderId="6" xfId="3" applyFont="1" applyFill="1" applyBorder="1" applyAlignment="1">
      <alignment vertical="top" wrapText="1"/>
    </xf>
    <xf numFmtId="0" fontId="3" fillId="2" borderId="5" xfId="3" applyFont="1" applyFill="1" applyBorder="1" applyAlignment="1">
      <alignment horizontal="center" wrapText="1"/>
    </xf>
    <xf numFmtId="174" fontId="4" fillId="2" borderId="12" xfId="13" applyNumberFormat="1" applyFont="1" applyFill="1" applyBorder="1" applyAlignment="1">
      <alignment horizontal="right" vertical="center"/>
    </xf>
    <xf numFmtId="0" fontId="8" fillId="2" borderId="0" xfId="3" applyFont="1" applyFill="1"/>
    <xf numFmtId="0" fontId="8" fillId="2" borderId="0" xfId="3" applyFont="1" applyFill="1" applyAlignment="1">
      <alignment wrapText="1"/>
    </xf>
    <xf numFmtId="168" fontId="8" fillId="2" borderId="0" xfId="3" applyNumberFormat="1" applyFont="1" applyFill="1" applyAlignment="1">
      <alignment horizontal="right"/>
    </xf>
    <xf numFmtId="0" fontId="1" fillId="2" borderId="6" xfId="3" applyFont="1" applyFill="1" applyBorder="1" applyAlignment="1">
      <alignment horizontal="center" vertical="center" wrapText="1"/>
    </xf>
    <xf numFmtId="0" fontId="1" fillId="2" borderId="8" xfId="3" applyFont="1" applyFill="1" applyBorder="1" applyAlignment="1">
      <alignment horizontal="center" vertical="center" wrapText="1"/>
    </xf>
    <xf numFmtId="166" fontId="1" fillId="2" borderId="5" xfId="3" applyNumberFormat="1" applyFont="1" applyFill="1" applyBorder="1" applyAlignment="1">
      <alignment horizontal="center" vertical="center" wrapText="1"/>
    </xf>
    <xf numFmtId="0" fontId="1" fillId="2" borderId="15" xfId="3" applyFont="1" applyFill="1" applyBorder="1" applyAlignment="1">
      <alignment horizontal="left" wrapText="1"/>
    </xf>
    <xf numFmtId="0" fontId="1" fillId="2" borderId="0" xfId="3" applyFont="1" applyFill="1" applyBorder="1" applyAlignment="1">
      <alignment horizontal="center" vertical="center" wrapText="1"/>
    </xf>
    <xf numFmtId="166" fontId="1" fillId="2" borderId="12" xfId="3" applyNumberFormat="1" applyFont="1" applyFill="1" applyBorder="1" applyAlignment="1">
      <alignment horizontal="center" vertical="center" wrapText="1"/>
    </xf>
    <xf numFmtId="166" fontId="1" fillId="2" borderId="13" xfId="3" applyNumberFormat="1" applyFont="1" applyFill="1" applyBorder="1" applyAlignment="1">
      <alignment horizontal="center" vertical="center" wrapText="1"/>
    </xf>
    <xf numFmtId="167" fontId="1" fillId="2" borderId="12" xfId="3" applyNumberFormat="1" applyFont="1" applyFill="1" applyBorder="1" applyAlignment="1">
      <alignment horizontal="center"/>
    </xf>
    <xf numFmtId="0" fontId="1" fillId="2" borderId="0" xfId="3" applyFont="1" applyFill="1" applyBorder="1"/>
    <xf numFmtId="0" fontId="1" fillId="2" borderId="11" xfId="3" applyFont="1" applyFill="1" applyBorder="1" applyAlignment="1">
      <alignment horizontal="left" wrapText="1"/>
    </xf>
    <xf numFmtId="0" fontId="1" fillId="2" borderId="0" xfId="3" applyFont="1" applyFill="1" applyBorder="1" applyAlignment="1">
      <alignment horizontal="center" wrapText="1"/>
    </xf>
    <xf numFmtId="0" fontId="1" fillId="2" borderId="14" xfId="3" applyFont="1" applyFill="1" applyBorder="1" applyAlignment="1">
      <alignment horizontal="left" wrapText="1"/>
    </xf>
    <xf numFmtId="0" fontId="1" fillId="2" borderId="10" xfId="3" applyFont="1" applyFill="1" applyBorder="1" applyAlignment="1">
      <alignment horizontal="left" wrapText="1"/>
    </xf>
    <xf numFmtId="166" fontId="1" fillId="2" borderId="13" xfId="3" applyNumberFormat="1" applyFont="1" applyFill="1" applyBorder="1" applyAlignment="1">
      <alignment horizontal="center"/>
    </xf>
    <xf numFmtId="0" fontId="1" fillId="2" borderId="0" xfId="3" applyFont="1" applyFill="1" applyAlignment="1">
      <alignment wrapText="1"/>
    </xf>
    <xf numFmtId="0" fontId="1" fillId="2" borderId="0" xfId="3" applyFont="1" applyFill="1" applyAlignment="1">
      <alignment horizontal="center"/>
    </xf>
    <xf numFmtId="0" fontId="1" fillId="2" borderId="1" xfId="3" applyFont="1" applyFill="1" applyBorder="1" applyAlignment="1">
      <alignment horizontal="center" vertical="center" wrapText="1"/>
    </xf>
    <xf numFmtId="0" fontId="1" fillId="2" borderId="15" xfId="3" applyFont="1" applyFill="1" applyBorder="1" applyAlignment="1">
      <alignment horizontal="left" vertical="center" wrapText="1"/>
    </xf>
    <xf numFmtId="0" fontId="1" fillId="2" borderId="5" xfId="3" applyFont="1" applyFill="1" applyBorder="1" applyAlignment="1">
      <alignment horizontal="justify" vertical="top" wrapText="1"/>
    </xf>
    <xf numFmtId="167" fontId="1" fillId="2" borderId="5" xfId="3" applyNumberFormat="1" applyFont="1" applyFill="1" applyBorder="1" applyAlignment="1">
      <alignment horizontal="center"/>
    </xf>
    <xf numFmtId="0" fontId="1" fillId="2" borderId="12" xfId="3" applyFont="1" applyFill="1" applyBorder="1" applyAlignment="1">
      <alignment horizontal="left" wrapText="1"/>
    </xf>
    <xf numFmtId="0" fontId="1" fillId="2" borderId="13" xfId="3" applyFont="1" applyFill="1" applyBorder="1" applyAlignment="1">
      <alignment horizontal="left" wrapText="1"/>
    </xf>
    <xf numFmtId="167" fontId="1" fillId="2" borderId="13" xfId="3" applyNumberFormat="1" applyFont="1" applyFill="1" applyBorder="1" applyAlignment="1">
      <alignment horizontal="center"/>
    </xf>
    <xf numFmtId="0" fontId="1" fillId="2" borderId="0" xfId="3" applyFont="1" applyFill="1" applyBorder="1" applyAlignment="1">
      <alignment horizontal="center" vertical="justify"/>
    </xf>
    <xf numFmtId="0" fontId="1" fillId="2" borderId="0" xfId="3" applyFont="1" applyFill="1" applyBorder="1" applyAlignment="1">
      <alignment horizontal="left" wrapText="1"/>
    </xf>
    <xf numFmtId="0" fontId="1" fillId="2" borderId="0" xfId="3" applyFont="1" applyFill="1" applyBorder="1" applyAlignment="1">
      <alignment horizontal="center"/>
    </xf>
    <xf numFmtId="0" fontId="1" fillId="2" borderId="7" xfId="1" applyFont="1" applyFill="1" applyBorder="1" applyAlignment="1">
      <alignment vertical="top"/>
    </xf>
    <xf numFmtId="0" fontId="2" fillId="2" borderId="7" xfId="7" applyFont="1" applyFill="1" applyBorder="1" applyAlignment="1">
      <alignment vertical="top" wrapText="1"/>
    </xf>
    <xf numFmtId="167" fontId="2" fillId="2" borderId="7" xfId="10" applyNumberFormat="1" applyFont="1" applyFill="1" applyBorder="1" applyAlignment="1">
      <alignment vertical="top"/>
    </xf>
    <xf numFmtId="0" fontId="6" fillId="2" borderId="1" xfId="0" applyFont="1" applyFill="1" applyBorder="1" applyAlignment="1">
      <alignment vertical="top"/>
    </xf>
    <xf numFmtId="0" fontId="6" fillId="2" borderId="1" xfId="5" applyFont="1" applyFill="1" applyBorder="1" applyAlignment="1">
      <alignment vertical="top" wrapText="1"/>
    </xf>
    <xf numFmtId="0" fontId="30" fillId="2" borderId="0" xfId="1" applyFont="1" applyFill="1" applyAlignment="1">
      <alignment horizontal="right"/>
    </xf>
    <xf numFmtId="0" fontId="21" fillId="2" borderId="0" xfId="1" applyFont="1" applyFill="1"/>
    <xf numFmtId="49" fontId="1" fillId="2" borderId="1" xfId="11" applyNumberFormat="1" applyFont="1" applyFill="1" applyBorder="1" applyAlignment="1">
      <alignment horizontal="center" wrapText="1"/>
    </xf>
    <xf numFmtId="49" fontId="1" fillId="2" borderId="1" xfId="11" applyNumberFormat="1" applyFont="1" applyFill="1" applyBorder="1" applyAlignment="1">
      <alignment horizontal="center"/>
    </xf>
    <xf numFmtId="0" fontId="11" fillId="2" borderId="0" xfId="7" applyFont="1" applyFill="1" applyAlignment="1">
      <alignment horizontal="center"/>
    </xf>
    <xf numFmtId="166" fontId="11" fillId="2" borderId="0" xfId="7" applyNumberFormat="1" applyFont="1" applyFill="1"/>
    <xf numFmtId="0" fontId="11" fillId="2" borderId="0" xfId="7" applyFont="1" applyFill="1" applyBorder="1" applyAlignment="1">
      <alignment horizontal="center" vertical="top"/>
    </xf>
    <xf numFmtId="168" fontId="3" fillId="2" borderId="0" xfId="7" applyNumberFormat="1" applyFont="1" applyFill="1" applyBorder="1" applyAlignment="1">
      <alignment horizontal="right"/>
    </xf>
    <xf numFmtId="168" fontId="3" fillId="2" borderId="1" xfId="3" applyNumberFormat="1" applyFont="1" applyFill="1" applyBorder="1" applyAlignment="1">
      <alignment horizontal="center" vertical="center"/>
    </xf>
    <xf numFmtId="49" fontId="3" fillId="2" borderId="1" xfId="7" applyNumberFormat="1" applyFont="1" applyFill="1" applyBorder="1" applyAlignment="1">
      <alignment horizontal="center" vertical="top" wrapText="1"/>
    </xf>
    <xf numFmtId="0" fontId="3" fillId="2" borderId="1" xfId="7" applyFont="1" applyFill="1" applyBorder="1" applyAlignment="1">
      <alignment horizontal="center" vertical="top"/>
    </xf>
    <xf numFmtId="49" fontId="4" fillId="2" borderId="1" xfId="7" applyNumberFormat="1" applyFont="1" applyFill="1" applyBorder="1" applyAlignment="1">
      <alignment horizontal="left" vertical="top" wrapText="1"/>
    </xf>
    <xf numFmtId="49" fontId="3" fillId="2" borderId="9" xfId="7" applyNumberFormat="1" applyFont="1" applyFill="1" applyBorder="1" applyAlignment="1">
      <alignment horizontal="center" vertical="top"/>
    </xf>
    <xf numFmtId="49" fontId="3" fillId="2" borderId="1" xfId="7" applyNumberFormat="1" applyFont="1" applyFill="1" applyBorder="1" applyAlignment="1">
      <alignment horizontal="center" vertical="top"/>
    </xf>
    <xf numFmtId="166" fontId="4" fillId="2" borderId="1" xfId="7" applyNumberFormat="1" applyFont="1" applyFill="1" applyBorder="1" applyAlignment="1">
      <alignment horizontal="right" vertical="top"/>
    </xf>
    <xf numFmtId="172" fontId="31" fillId="2" borderId="0" xfId="7" applyNumberFormat="1" applyFont="1" applyFill="1"/>
    <xf numFmtId="0" fontId="4" fillId="2" borderId="1" xfId="5" applyFont="1" applyFill="1" applyBorder="1" applyAlignment="1">
      <alignment horizontal="center" vertical="top"/>
    </xf>
    <xf numFmtId="49" fontId="4" fillId="2" borderId="4" xfId="7" applyNumberFormat="1" applyFont="1" applyFill="1" applyBorder="1" applyAlignment="1">
      <alignment horizontal="center"/>
    </xf>
    <xf numFmtId="49" fontId="4" fillId="2" borderId="10" xfId="7" applyNumberFormat="1" applyFont="1" applyFill="1" applyBorder="1" applyAlignment="1">
      <alignment horizontal="center"/>
    </xf>
    <xf numFmtId="49" fontId="4" fillId="2" borderId="1" xfId="7" applyNumberFormat="1" applyFont="1" applyFill="1" applyBorder="1" applyAlignment="1">
      <alignment horizontal="center"/>
    </xf>
    <xf numFmtId="0" fontId="10" fillId="2" borderId="0" xfId="7" applyFont="1" applyFill="1"/>
    <xf numFmtId="49" fontId="3" fillId="2" borderId="17" xfId="11" applyNumberFormat="1" applyFont="1" applyFill="1" applyBorder="1" applyAlignment="1">
      <alignment horizontal="center"/>
    </xf>
    <xf numFmtId="49" fontId="3" fillId="2" borderId="18" xfId="16" applyNumberFormat="1" applyFont="1" applyFill="1" applyBorder="1" applyAlignment="1">
      <alignment horizontal="center"/>
    </xf>
    <xf numFmtId="49" fontId="3" fillId="2" borderId="19" xfId="16" applyNumberFormat="1" applyFont="1" applyFill="1" applyBorder="1" applyAlignment="1">
      <alignment horizontal="center" wrapText="1"/>
    </xf>
    <xf numFmtId="49" fontId="3" fillId="2" borderId="16" xfId="16" applyNumberFormat="1" applyFont="1" applyFill="1" applyBorder="1" applyAlignment="1">
      <alignment horizontal="center"/>
    </xf>
    <xf numFmtId="0" fontId="4" fillId="2" borderId="1" xfId="7" applyFont="1" applyFill="1" applyBorder="1" applyAlignment="1">
      <alignment horizontal="center" vertical="top"/>
    </xf>
    <xf numFmtId="49" fontId="4" fillId="2" borderId="9" xfId="7" applyNumberFormat="1" applyFont="1" applyFill="1" applyBorder="1" applyAlignment="1">
      <alignment horizontal="center"/>
    </xf>
    <xf numFmtId="49" fontId="4" fillId="2" borderId="3" xfId="7" applyNumberFormat="1" applyFont="1" applyFill="1" applyBorder="1" applyAlignment="1">
      <alignment horizontal="center"/>
    </xf>
    <xf numFmtId="49" fontId="3" fillId="2" borderId="2" xfId="6" applyNumberFormat="1" applyFont="1" applyFill="1" applyBorder="1" applyAlignment="1">
      <alignment horizontal="center"/>
    </xf>
    <xf numFmtId="49" fontId="3" fillId="2" borderId="9" xfId="6" applyNumberFormat="1" applyFont="1" applyFill="1" applyBorder="1" applyAlignment="1">
      <alignment horizontal="center"/>
    </xf>
    <xf numFmtId="49" fontId="3" fillId="2" borderId="3" xfId="6" applyNumberFormat="1" applyFont="1" applyFill="1" applyBorder="1" applyAlignment="1">
      <alignment horizontal="center"/>
    </xf>
    <xf numFmtId="49" fontId="3" fillId="2" borderId="1" xfId="6" applyNumberFormat="1" applyFont="1" applyFill="1" applyBorder="1" applyAlignment="1">
      <alignment horizontal="center"/>
    </xf>
    <xf numFmtId="49" fontId="3" fillId="2" borderId="4" xfId="7" applyNumberFormat="1" applyFont="1" applyFill="1" applyBorder="1" applyAlignment="1">
      <alignment horizontal="center"/>
    </xf>
    <xf numFmtId="49" fontId="3" fillId="2" borderId="11" xfId="7" applyNumberFormat="1" applyFont="1" applyFill="1" applyBorder="1" applyAlignment="1">
      <alignment horizontal="center"/>
    </xf>
    <xf numFmtId="49" fontId="3" fillId="2" borderId="10" xfId="7" applyNumberFormat="1" applyFont="1" applyFill="1" applyBorder="1" applyAlignment="1">
      <alignment horizontal="center"/>
    </xf>
    <xf numFmtId="0" fontId="3" fillId="2" borderId="1" xfId="5" applyFont="1" applyFill="1" applyBorder="1" applyAlignment="1">
      <alignment horizontal="center" vertical="top"/>
    </xf>
    <xf numFmtId="49" fontId="3" fillId="2" borderId="9" xfId="5" applyNumberFormat="1" applyFont="1" applyFill="1" applyBorder="1" applyAlignment="1">
      <alignment horizontal="center"/>
    </xf>
    <xf numFmtId="49" fontId="3" fillId="2" borderId="14" xfId="0" applyNumberFormat="1" applyFont="1" applyFill="1" applyBorder="1" applyAlignment="1">
      <alignment horizontal="center"/>
    </xf>
    <xf numFmtId="49" fontId="3" fillId="2" borderId="4" xfId="0" applyNumberFormat="1" applyFont="1" applyFill="1" applyBorder="1" applyAlignment="1">
      <alignment horizontal="center"/>
    </xf>
    <xf numFmtId="49" fontId="3" fillId="2" borderId="10" xfId="0" applyNumberFormat="1" applyFont="1" applyFill="1" applyBorder="1" applyAlignment="1">
      <alignment horizontal="center"/>
    </xf>
    <xf numFmtId="49" fontId="4" fillId="2" borderId="9" xfId="6" applyNumberFormat="1" applyFont="1" applyFill="1" applyBorder="1" applyAlignment="1">
      <alignment horizontal="center"/>
    </xf>
    <xf numFmtId="168" fontId="4" fillId="2" borderId="1" xfId="7" applyNumberFormat="1" applyFont="1" applyFill="1" applyBorder="1" applyAlignment="1">
      <alignment horizontal="center"/>
    </xf>
    <xf numFmtId="49" fontId="3" fillId="2" borderId="25" xfId="11" applyNumberFormat="1" applyFont="1" applyFill="1" applyBorder="1" applyAlignment="1">
      <alignment horizontal="center"/>
    </xf>
    <xf numFmtId="49" fontId="3" fillId="2" borderId="20" xfId="16" applyNumberFormat="1" applyFont="1" applyFill="1" applyBorder="1" applyAlignment="1">
      <alignment horizontal="center"/>
    </xf>
    <xf numFmtId="49" fontId="3" fillId="2" borderId="26" xfId="16" applyNumberFormat="1" applyFont="1" applyFill="1" applyBorder="1" applyAlignment="1">
      <alignment horizontal="center"/>
    </xf>
    <xf numFmtId="49" fontId="3" fillId="2" borderId="19" xfId="16" applyNumberFormat="1" applyFont="1" applyFill="1" applyBorder="1" applyAlignment="1">
      <alignment horizontal="center"/>
    </xf>
    <xf numFmtId="49" fontId="3" fillId="2" borderId="3" xfId="5" applyNumberFormat="1" applyFont="1" applyFill="1" applyBorder="1" applyAlignment="1">
      <alignment horizontal="center"/>
    </xf>
    <xf numFmtId="49" fontId="3" fillId="2" borderId="1" xfId="5" applyNumberFormat="1" applyFont="1" applyFill="1" applyBorder="1" applyAlignment="1">
      <alignment horizontal="center"/>
    </xf>
    <xf numFmtId="49" fontId="3" fillId="2" borderId="6" xfId="6" applyNumberFormat="1" applyFont="1" applyFill="1" applyBorder="1" applyAlignment="1">
      <alignment horizontal="center"/>
    </xf>
    <xf numFmtId="49" fontId="3" fillId="2" borderId="7" xfId="5" applyNumberFormat="1" applyFont="1" applyFill="1" applyBorder="1" applyAlignment="1">
      <alignment horizontal="center"/>
    </xf>
    <xf numFmtId="49" fontId="3" fillId="2" borderId="8" xfId="5" applyNumberFormat="1" applyFont="1" applyFill="1" applyBorder="1" applyAlignment="1">
      <alignment horizontal="center"/>
    </xf>
    <xf numFmtId="49" fontId="3" fillId="2" borderId="17" xfId="6" applyNumberFormat="1" applyFont="1" applyFill="1" applyBorder="1" applyAlignment="1">
      <alignment horizontal="center"/>
    </xf>
    <xf numFmtId="49" fontId="3" fillId="2" borderId="0" xfId="16" applyNumberFormat="1" applyFont="1" applyFill="1" applyBorder="1" applyAlignment="1">
      <alignment horizontal="center"/>
    </xf>
    <xf numFmtId="49" fontId="3" fillId="2" borderId="18" xfId="14" applyNumberFormat="1" applyFont="1" applyFill="1" applyBorder="1" applyAlignment="1">
      <alignment horizontal="center"/>
    </xf>
    <xf numFmtId="49" fontId="3" fillId="2" borderId="19" xfId="14" applyNumberFormat="1" applyFont="1" applyFill="1" applyBorder="1" applyAlignment="1">
      <alignment horizontal="center"/>
    </xf>
    <xf numFmtId="49" fontId="3" fillId="2" borderId="21" xfId="14" applyNumberFormat="1" applyFont="1" applyFill="1" applyBorder="1" applyAlignment="1">
      <alignment horizontal="center"/>
    </xf>
    <xf numFmtId="49" fontId="3" fillId="2" borderId="18" xfId="6" applyNumberFormat="1" applyFont="1" applyFill="1" applyBorder="1" applyAlignment="1">
      <alignment horizontal="center"/>
    </xf>
    <xf numFmtId="49" fontId="3" fillId="2" borderId="16" xfId="14" applyNumberFormat="1" applyFont="1" applyFill="1" applyBorder="1" applyAlignment="1">
      <alignment horizontal="center"/>
    </xf>
    <xf numFmtId="49" fontId="3" fillId="2" borderId="20" xfId="14" applyNumberFormat="1" applyFont="1" applyFill="1" applyBorder="1" applyAlignment="1">
      <alignment horizontal="center"/>
    </xf>
    <xf numFmtId="49" fontId="3" fillId="2" borderId="26" xfId="14" applyNumberFormat="1" applyFont="1" applyFill="1" applyBorder="1" applyAlignment="1">
      <alignment horizontal="center"/>
    </xf>
    <xf numFmtId="49" fontId="3" fillId="2" borderId="23" xfId="14" applyNumberFormat="1" applyFont="1" applyFill="1" applyBorder="1" applyAlignment="1">
      <alignment horizontal="center"/>
    </xf>
    <xf numFmtId="49" fontId="3" fillId="2" borderId="20" xfId="6" applyNumberFormat="1" applyFont="1" applyFill="1" applyBorder="1" applyAlignment="1">
      <alignment horizontal="center"/>
    </xf>
    <xf numFmtId="49" fontId="3" fillId="2" borderId="2" xfId="11" applyNumberFormat="1" applyFont="1" applyFill="1" applyBorder="1" applyAlignment="1">
      <alignment horizontal="center"/>
    </xf>
    <xf numFmtId="49" fontId="3" fillId="2" borderId="3" xfId="5" applyNumberFormat="1" applyFont="1" applyFill="1" applyBorder="1" applyAlignment="1">
      <alignment horizontal="center" wrapText="1"/>
    </xf>
    <xf numFmtId="49" fontId="3" fillId="2" borderId="17" xfId="5" applyNumberFormat="1" applyFont="1" applyFill="1" applyBorder="1" applyAlignment="1">
      <alignment horizontal="center"/>
    </xf>
    <xf numFmtId="49" fontId="3" fillId="2" borderId="18" xfId="5" applyNumberFormat="1" applyFont="1" applyFill="1" applyBorder="1" applyAlignment="1">
      <alignment horizontal="center"/>
    </xf>
    <xf numFmtId="49" fontId="3" fillId="2" borderId="19" xfId="5" applyNumberFormat="1" applyFont="1" applyFill="1" applyBorder="1" applyAlignment="1">
      <alignment horizontal="center"/>
    </xf>
    <xf numFmtId="49" fontId="3" fillId="2" borderId="16" xfId="5" applyNumberFormat="1" applyFont="1" applyFill="1" applyBorder="1" applyAlignment="1">
      <alignment horizontal="center"/>
    </xf>
    <xf numFmtId="49" fontId="4" fillId="2" borderId="1" xfId="6" applyNumberFormat="1" applyFont="1" applyFill="1" applyBorder="1" applyAlignment="1">
      <alignment horizontal="center"/>
    </xf>
    <xf numFmtId="49" fontId="4" fillId="2" borderId="2" xfId="0" applyNumberFormat="1" applyFont="1" applyFill="1" applyBorder="1" applyAlignment="1">
      <alignment horizontal="center"/>
    </xf>
    <xf numFmtId="49" fontId="4" fillId="2" borderId="9" xfId="0" applyNumberFormat="1" applyFont="1" applyFill="1" applyBorder="1" applyAlignment="1">
      <alignment horizontal="center"/>
    </xf>
    <xf numFmtId="49" fontId="4" fillId="2" borderId="3" xfId="0" applyNumberFormat="1" applyFont="1" applyFill="1" applyBorder="1" applyAlignment="1">
      <alignment horizontal="center"/>
    </xf>
    <xf numFmtId="166" fontId="3" fillId="2" borderId="1" xfId="7" applyNumberFormat="1" applyFont="1" applyFill="1" applyBorder="1"/>
    <xf numFmtId="49" fontId="3" fillId="2" borderId="0" xfId="0" applyNumberFormat="1" applyFont="1" applyFill="1" applyBorder="1" applyAlignment="1">
      <alignment horizontal="left" vertical="top" wrapText="1"/>
    </xf>
    <xf numFmtId="166" fontId="3" fillId="2" borderId="0" xfId="7" applyNumberFormat="1" applyFont="1" applyFill="1" applyBorder="1"/>
    <xf numFmtId="166" fontId="11" fillId="2" borderId="0" xfId="7" applyNumberFormat="1" applyFont="1" applyFill="1" applyAlignment="1">
      <alignment horizontal="center"/>
    </xf>
    <xf numFmtId="49" fontId="11" fillId="2" borderId="0" xfId="7" applyNumberFormat="1" applyFont="1" applyFill="1" applyAlignment="1">
      <alignment vertical="top" wrapText="1"/>
    </xf>
    <xf numFmtId="49" fontId="11" fillId="2" borderId="0" xfId="7" applyNumberFormat="1" applyFont="1" applyFill="1" applyAlignment="1">
      <alignment horizontal="center"/>
    </xf>
    <xf numFmtId="49" fontId="1" fillId="2" borderId="3" xfId="7" applyNumberFormat="1" applyFont="1" applyFill="1" applyBorder="1" applyAlignment="1">
      <alignment horizontal="center"/>
    </xf>
    <xf numFmtId="166" fontId="3" fillId="2" borderId="4" xfId="7" applyNumberFormat="1" applyFont="1" applyFill="1" applyBorder="1" applyAlignment="1">
      <alignment horizontal="right"/>
    </xf>
    <xf numFmtId="166" fontId="3" fillId="2" borderId="1" xfId="7" applyNumberFormat="1" applyFont="1" applyFill="1" applyBorder="1" applyAlignment="1">
      <alignment horizontal="center" vertical="center"/>
    </xf>
    <xf numFmtId="0" fontId="11" fillId="2" borderId="1" xfId="7" applyFont="1" applyFill="1" applyBorder="1" applyAlignment="1">
      <alignment horizontal="center" vertical="top"/>
    </xf>
    <xf numFmtId="166" fontId="3" fillId="2" borderId="1" xfId="7" applyNumberFormat="1" applyFont="1" applyFill="1" applyBorder="1" applyAlignment="1"/>
    <xf numFmtId="49" fontId="3" fillId="2" borderId="6" xfId="11" applyNumberFormat="1" applyFont="1" applyFill="1" applyBorder="1" applyAlignment="1">
      <alignment horizontal="center"/>
    </xf>
    <xf numFmtId="49" fontId="3" fillId="2" borderId="30" xfId="6" applyNumberFormat="1" applyFont="1" applyFill="1" applyBorder="1" applyAlignment="1">
      <alignment horizontal="center"/>
    </xf>
    <xf numFmtId="49" fontId="3" fillId="2" borderId="33" xfId="14" applyNumberFormat="1" applyFont="1" applyFill="1" applyBorder="1" applyAlignment="1">
      <alignment horizontal="center"/>
    </xf>
    <xf numFmtId="49" fontId="3" fillId="2" borderId="22" xfId="14" applyNumberFormat="1" applyFont="1" applyFill="1" applyBorder="1" applyAlignment="1">
      <alignment horizontal="center"/>
    </xf>
    <xf numFmtId="166" fontId="3" fillId="2" borderId="13" xfId="7" applyNumberFormat="1" applyFont="1" applyFill="1" applyBorder="1" applyAlignment="1">
      <alignment horizontal="right"/>
    </xf>
    <xf numFmtId="49" fontId="3" fillId="2" borderId="24" xfId="6" applyNumberFormat="1" applyFont="1" applyFill="1" applyBorder="1" applyAlignment="1">
      <alignment horizontal="center"/>
    </xf>
    <xf numFmtId="49" fontId="3" fillId="2" borderId="9" xfId="14" applyNumberFormat="1" applyFont="1" applyFill="1" applyBorder="1" applyAlignment="1">
      <alignment horizontal="center"/>
    </xf>
    <xf numFmtId="49" fontId="3" fillId="2" borderId="3" xfId="14" applyNumberFormat="1" applyFont="1" applyFill="1" applyBorder="1" applyAlignment="1">
      <alignment horizontal="center"/>
    </xf>
    <xf numFmtId="49" fontId="3" fillId="2" borderId="1" xfId="14" applyNumberFormat="1" applyFont="1" applyFill="1" applyBorder="1" applyAlignment="1">
      <alignment horizontal="center"/>
    </xf>
    <xf numFmtId="49" fontId="3" fillId="2" borderId="7" xfId="14" applyNumberFormat="1" applyFont="1" applyFill="1" applyBorder="1" applyAlignment="1">
      <alignment horizontal="center"/>
    </xf>
    <xf numFmtId="49" fontId="3" fillId="2" borderId="8" xfId="14" applyNumberFormat="1" applyFont="1" applyFill="1" applyBorder="1" applyAlignment="1">
      <alignment horizontal="center"/>
    </xf>
    <xf numFmtId="49" fontId="3" fillId="2" borderId="34" xfId="11" applyNumberFormat="1" applyFont="1" applyFill="1" applyBorder="1" applyAlignment="1">
      <alignment horizontal="center"/>
    </xf>
    <xf numFmtId="49" fontId="3" fillId="2" borderId="35" xfId="16" applyNumberFormat="1" applyFont="1" applyFill="1" applyBorder="1" applyAlignment="1">
      <alignment horizontal="center"/>
    </xf>
    <xf numFmtId="49" fontId="3" fillId="2" borderId="36" xfId="16" applyNumberFormat="1" applyFont="1" applyFill="1" applyBorder="1" applyAlignment="1">
      <alignment horizontal="center" wrapText="1"/>
    </xf>
    <xf numFmtId="49" fontId="3" fillId="2" borderId="21" xfId="16" applyNumberFormat="1" applyFont="1" applyFill="1" applyBorder="1" applyAlignment="1">
      <alignment horizontal="center"/>
    </xf>
    <xf numFmtId="0" fontId="4" fillId="2" borderId="5" xfId="7" applyFont="1" applyFill="1" applyBorder="1" applyAlignment="1">
      <alignment horizontal="center" vertical="top"/>
    </xf>
    <xf numFmtId="49" fontId="3" fillId="2" borderId="23" xfId="16" applyNumberFormat="1" applyFont="1" applyFill="1" applyBorder="1" applyAlignment="1">
      <alignment horizontal="center"/>
    </xf>
    <xf numFmtId="166" fontId="3" fillId="2" borderId="5" xfId="7" applyNumberFormat="1" applyFont="1" applyFill="1" applyBorder="1" applyAlignment="1">
      <alignment horizontal="right"/>
    </xf>
    <xf numFmtId="49" fontId="3" fillId="2" borderId="1" xfId="16" applyNumberFormat="1" applyFont="1" applyFill="1" applyBorder="1" applyAlignment="1">
      <alignment horizontal="center"/>
    </xf>
    <xf numFmtId="0" fontId="3" fillId="2" borderId="0" xfId="7" applyFont="1" applyFill="1" applyBorder="1" applyAlignment="1">
      <alignment horizontal="center" vertical="top"/>
    </xf>
    <xf numFmtId="49" fontId="3" fillId="2" borderId="0" xfId="0" applyNumberFormat="1" applyFont="1" applyFill="1" applyBorder="1" applyAlignment="1">
      <alignment wrapText="1"/>
    </xf>
    <xf numFmtId="166" fontId="3" fillId="2" borderId="0" xfId="7" applyNumberFormat="1" applyFont="1" applyFill="1" applyBorder="1" applyAlignment="1">
      <alignment horizontal="right"/>
    </xf>
    <xf numFmtId="166" fontId="1" fillId="2" borderId="1" xfId="14" applyNumberFormat="1" applyFont="1" applyFill="1" applyBorder="1" applyAlignment="1">
      <alignment horizontal="right"/>
    </xf>
    <xf numFmtId="166" fontId="3" fillId="2" borderId="1" xfId="5" applyNumberFormat="1" applyFont="1" applyFill="1" applyBorder="1" applyAlignment="1">
      <alignment horizontal="right" wrapText="1"/>
    </xf>
    <xf numFmtId="49" fontId="3" fillId="2" borderId="6" xfId="0" applyNumberFormat="1" applyFont="1" applyFill="1" applyBorder="1" applyAlignment="1">
      <alignment horizontal="center"/>
    </xf>
    <xf numFmtId="49" fontId="3" fillId="2" borderId="7" xfId="0" applyNumberFormat="1" applyFont="1" applyFill="1" applyBorder="1" applyAlignment="1">
      <alignment horizontal="center"/>
    </xf>
    <xf numFmtId="49" fontId="3" fillId="2" borderId="8" xfId="0" applyNumberFormat="1" applyFont="1" applyFill="1" applyBorder="1" applyAlignment="1">
      <alignment horizontal="center"/>
    </xf>
    <xf numFmtId="49" fontId="1" fillId="2" borderId="6" xfId="0" applyNumberFormat="1" applyFont="1" applyFill="1" applyBorder="1" applyAlignment="1">
      <alignment horizontal="center"/>
    </xf>
    <xf numFmtId="49" fontId="1" fillId="2" borderId="7" xfId="0" applyNumberFormat="1" applyFont="1" applyFill="1" applyBorder="1" applyAlignment="1">
      <alignment horizontal="center"/>
    </xf>
    <xf numFmtId="49" fontId="1" fillId="2" borderId="8" xfId="0" applyNumberFormat="1" applyFont="1" applyFill="1" applyBorder="1" applyAlignment="1">
      <alignment horizontal="center"/>
    </xf>
    <xf numFmtId="171" fontId="31" fillId="2" borderId="0" xfId="7" applyNumberFormat="1" applyFont="1" applyFill="1"/>
    <xf numFmtId="0" fontId="1" fillId="2" borderId="0" xfId="3" applyFont="1" applyFill="1" applyAlignment="1">
      <alignment wrapText="1"/>
    </xf>
    <xf numFmtId="166" fontId="1" fillId="2" borderId="37" xfId="16" applyNumberFormat="1" applyFont="1" applyFill="1" applyBorder="1" applyAlignment="1">
      <alignment horizontal="right"/>
    </xf>
    <xf numFmtId="49" fontId="1" fillId="2" borderId="17" xfId="14" applyNumberFormat="1" applyFont="1" applyFill="1" applyBorder="1" applyAlignment="1">
      <alignment horizontal="center"/>
    </xf>
    <xf numFmtId="0" fontId="4" fillId="2" borderId="0" xfId="0" applyFont="1" applyFill="1" applyAlignment="1">
      <alignment horizontal="center"/>
    </xf>
    <xf numFmtId="166" fontId="1" fillId="2" borderId="26" xfId="16" applyNumberFormat="1" applyFont="1" applyFill="1" applyBorder="1" applyAlignment="1">
      <alignment horizontal="right"/>
    </xf>
    <xf numFmtId="166" fontId="1" fillId="2" borderId="22" xfId="16" applyNumberFormat="1" applyFont="1" applyFill="1" applyBorder="1" applyAlignment="1">
      <alignment horizontal="right"/>
    </xf>
    <xf numFmtId="0" fontId="28" fillId="2" borderId="0" xfId="3" applyFont="1" applyFill="1"/>
    <xf numFmtId="0" fontId="1" fillId="2" borderId="0" xfId="7" applyFont="1" applyFill="1" applyBorder="1" applyAlignment="1">
      <alignment horizontal="left"/>
    </xf>
    <xf numFmtId="0" fontId="1" fillId="2" borderId="0" xfId="7" applyFont="1" applyFill="1" applyAlignment="1">
      <alignment horizontal="left"/>
    </xf>
    <xf numFmtId="173" fontId="1" fillId="2" borderId="0" xfId="3" applyNumberFormat="1" applyFont="1" applyFill="1"/>
    <xf numFmtId="10" fontId="1" fillId="2" borderId="0" xfId="3" applyNumberFormat="1" applyFont="1" applyFill="1"/>
    <xf numFmtId="171" fontId="2" fillId="2" borderId="0" xfId="3" applyNumberFormat="1" applyFont="1" applyFill="1"/>
    <xf numFmtId="173" fontId="2" fillId="2" borderId="0" xfId="3" applyNumberFormat="1" applyFont="1" applyFill="1"/>
    <xf numFmtId="168" fontId="2" fillId="2" borderId="0" xfId="3" applyNumberFormat="1" applyFont="1" applyFill="1" applyAlignment="1">
      <alignment shrinkToFit="1"/>
    </xf>
    <xf numFmtId="0" fontId="2" fillId="2" borderId="0" xfId="3" applyFont="1" applyFill="1"/>
    <xf numFmtId="168" fontId="1" fillId="2" borderId="0" xfId="7" applyNumberFormat="1" applyFont="1" applyFill="1"/>
    <xf numFmtId="171" fontId="10" fillId="2" borderId="0" xfId="7" applyNumberFormat="1" applyFont="1" applyFill="1"/>
    <xf numFmtId="49" fontId="1" fillId="2" borderId="32" xfId="11" applyNumberFormat="1" applyFont="1" applyFill="1" applyBorder="1" applyAlignment="1">
      <alignment horizontal="center" wrapText="1"/>
    </xf>
    <xf numFmtId="0" fontId="1" fillId="2" borderId="27" xfId="14" applyFont="1" applyFill="1" applyBorder="1" applyAlignment="1">
      <alignment horizontal="center" vertical="top"/>
    </xf>
    <xf numFmtId="49" fontId="1" fillId="2" borderId="21" xfId="11" applyNumberFormat="1" applyFont="1" applyFill="1" applyBorder="1" applyAlignment="1">
      <alignment horizontal="center"/>
    </xf>
    <xf numFmtId="49" fontId="1" fillId="2" borderId="30" xfId="6" applyNumberFormat="1" applyFont="1" applyFill="1" applyBorder="1" applyAlignment="1">
      <alignment horizontal="center"/>
    </xf>
    <xf numFmtId="49" fontId="1" fillId="2" borderId="33" xfId="14" applyNumberFormat="1" applyFont="1" applyFill="1" applyBorder="1" applyAlignment="1">
      <alignment horizontal="center"/>
    </xf>
    <xf numFmtId="49" fontId="1" fillId="2" borderId="22" xfId="14" applyNumberFormat="1" applyFont="1" applyFill="1" applyBorder="1" applyAlignment="1">
      <alignment horizontal="center"/>
    </xf>
    <xf numFmtId="49" fontId="1" fillId="2" borderId="30" xfId="14" applyNumberFormat="1" applyFont="1" applyFill="1" applyBorder="1" applyAlignment="1">
      <alignment horizontal="center"/>
    </xf>
    <xf numFmtId="166" fontId="1" fillId="2" borderId="13" xfId="0" applyNumberFormat="1" applyFont="1" applyFill="1" applyBorder="1" applyAlignment="1">
      <alignment horizontal="right"/>
    </xf>
    <xf numFmtId="0" fontId="1" fillId="2" borderId="32" xfId="14" applyFont="1" applyFill="1" applyBorder="1" applyAlignment="1">
      <alignment horizontal="center" vertical="top"/>
    </xf>
    <xf numFmtId="49" fontId="1" fillId="2" borderId="32" xfId="11" applyNumberFormat="1" applyFont="1" applyFill="1" applyBorder="1" applyAlignment="1">
      <alignment horizontal="center"/>
    </xf>
    <xf numFmtId="49" fontId="1" fillId="2" borderId="39" xfId="6" applyNumberFormat="1" applyFont="1" applyFill="1" applyBorder="1" applyAlignment="1">
      <alignment horizontal="center"/>
    </xf>
    <xf numFmtId="49" fontId="1" fillId="2" borderId="38" xfId="14" applyNumberFormat="1" applyFont="1" applyFill="1" applyBorder="1" applyAlignment="1">
      <alignment horizontal="center"/>
    </xf>
    <xf numFmtId="49" fontId="1" fillId="2" borderId="31" xfId="14" applyNumberFormat="1" applyFont="1" applyFill="1" applyBorder="1" applyAlignment="1">
      <alignment horizontal="center"/>
    </xf>
    <xf numFmtId="49" fontId="1" fillId="2" borderId="39" xfId="14" applyNumberFormat="1" applyFont="1" applyFill="1" applyBorder="1" applyAlignment="1">
      <alignment horizontal="center"/>
    </xf>
    <xf numFmtId="0" fontId="4" fillId="2" borderId="0" xfId="0" applyFont="1" applyFill="1" applyAlignment="1">
      <alignment horizontal="center" wrapText="1"/>
    </xf>
    <xf numFmtId="166" fontId="3" fillId="2" borderId="0" xfId="0" applyNumberFormat="1" applyFont="1" applyFill="1" applyBorder="1" applyAlignment="1">
      <alignment horizontal="right"/>
    </xf>
    <xf numFmtId="166" fontId="8" fillId="2" borderId="0" xfId="7" applyNumberFormat="1" applyFont="1" applyFill="1"/>
    <xf numFmtId="166" fontId="23" fillId="2" borderId="1" xfId="0" applyNumberFormat="1" applyFont="1" applyFill="1" applyBorder="1"/>
    <xf numFmtId="166" fontId="21" fillId="2" borderId="0" xfId="0" applyNumberFormat="1" applyFont="1" applyFill="1" applyBorder="1"/>
    <xf numFmtId="166" fontId="3" fillId="2" borderId="0" xfId="0" applyNumberFormat="1" applyFont="1" applyFill="1" applyBorder="1"/>
    <xf numFmtId="166" fontId="17" fillId="2" borderId="0" xfId="0" applyNumberFormat="1" applyFont="1" applyFill="1" applyBorder="1"/>
    <xf numFmtId="0" fontId="3" fillId="0" borderId="1" xfId="0" applyFont="1" applyBorder="1" applyAlignment="1">
      <alignment horizontal="center" vertical="center" wrapText="1"/>
    </xf>
    <xf numFmtId="0" fontId="1" fillId="2" borderId="0" xfId="7" applyFont="1" applyFill="1" applyBorder="1" applyAlignment="1">
      <alignment horizontal="center" vertical="top"/>
    </xf>
    <xf numFmtId="0" fontId="6" fillId="2" borderId="1" xfId="8" applyFont="1" applyFill="1" applyBorder="1" applyAlignment="1">
      <alignment wrapText="1"/>
    </xf>
    <xf numFmtId="0" fontId="4" fillId="2" borderId="15" xfId="3" applyFont="1" applyFill="1" applyBorder="1" applyAlignment="1">
      <alignment wrapText="1"/>
    </xf>
    <xf numFmtId="0" fontId="3" fillId="2" borderId="15" xfId="3" applyFont="1" applyFill="1" applyBorder="1" applyAlignment="1">
      <alignment wrapText="1"/>
    </xf>
    <xf numFmtId="0" fontId="3" fillId="2" borderId="15" xfId="3" applyFont="1" applyFill="1" applyBorder="1" applyAlignment="1">
      <alignment vertical="top" wrapText="1"/>
    </xf>
    <xf numFmtId="0" fontId="3" fillId="2" borderId="14" xfId="3" applyFont="1" applyFill="1" applyBorder="1" applyAlignment="1">
      <alignment vertical="top" wrapText="1"/>
    </xf>
    <xf numFmtId="167" fontId="3" fillId="2" borderId="1" xfId="20" applyNumberFormat="1" applyFont="1" applyFill="1" applyBorder="1" applyAlignment="1">
      <alignment horizontal="right"/>
    </xf>
    <xf numFmtId="167" fontId="3" fillId="2" borderId="1" xfId="20" applyNumberFormat="1" applyFont="1" applyFill="1" applyBorder="1" applyAlignment="1"/>
    <xf numFmtId="49" fontId="1" fillId="2" borderId="26" xfId="16" applyNumberFormat="1" applyFont="1" applyFill="1" applyBorder="1" applyAlignment="1">
      <alignment horizontal="center" wrapText="1"/>
    </xf>
    <xf numFmtId="49" fontId="1" fillId="2" borderId="23" xfId="16" applyNumberFormat="1" applyFont="1" applyFill="1" applyBorder="1" applyAlignment="1">
      <alignment horizontal="center"/>
    </xf>
    <xf numFmtId="49" fontId="3" fillId="2" borderId="16" xfId="11" applyNumberFormat="1" applyFont="1" applyFill="1" applyBorder="1" applyAlignment="1">
      <alignment horizontal="center" wrapText="1"/>
    </xf>
    <xf numFmtId="49" fontId="3" fillId="2" borderId="16" xfId="11" applyNumberFormat="1" applyFont="1" applyFill="1" applyBorder="1" applyAlignment="1">
      <alignment horizontal="center"/>
    </xf>
    <xf numFmtId="166" fontId="6" fillId="4" borderId="1" xfId="1" applyNumberFormat="1" applyFont="1" applyFill="1" applyBorder="1" applyAlignment="1">
      <alignment horizontal="right"/>
    </xf>
    <xf numFmtId="49" fontId="3" fillId="2" borderId="20" xfId="16" applyNumberFormat="1" applyFont="1" applyFill="1" applyBorder="1" applyAlignment="1">
      <alignment horizontal="center" wrapText="1"/>
    </xf>
    <xf numFmtId="0" fontId="2" fillId="2" borderId="21" xfId="16" applyFont="1" applyFill="1" applyBorder="1" applyAlignment="1">
      <alignment horizontal="center" vertical="top"/>
    </xf>
    <xf numFmtId="49" fontId="2" fillId="2" borderId="21" xfId="16" applyNumberFormat="1" applyFont="1" applyFill="1" applyBorder="1" applyAlignment="1">
      <alignment horizontal="center" wrapText="1"/>
    </xf>
    <xf numFmtId="49" fontId="1" fillId="2" borderId="1" xfId="12" applyNumberFormat="1" applyFont="1" applyFill="1" applyBorder="1" applyAlignment="1">
      <alignment horizontal="center" wrapText="1"/>
    </xf>
    <xf numFmtId="49" fontId="2" fillId="2" borderId="21" xfId="16" applyNumberFormat="1" applyFont="1" applyFill="1" applyBorder="1" applyAlignment="1">
      <alignment horizontal="center"/>
    </xf>
    <xf numFmtId="166" fontId="2" fillId="2" borderId="21" xfId="16" applyNumberFormat="1" applyFont="1" applyFill="1" applyBorder="1" applyAlignment="1">
      <alignment horizontal="right"/>
    </xf>
    <xf numFmtId="49" fontId="1" fillId="2" borderId="13" xfId="12" applyNumberFormat="1" applyFont="1" applyFill="1" applyBorder="1" applyAlignment="1">
      <alignment horizontal="center"/>
    </xf>
    <xf numFmtId="49" fontId="1" fillId="2" borderId="13" xfId="0" applyNumberFormat="1" applyFont="1" applyFill="1" applyBorder="1" applyAlignment="1">
      <alignment horizontal="center"/>
    </xf>
    <xf numFmtId="49" fontId="3" fillId="2" borderId="16" xfId="5" applyNumberFormat="1" applyFont="1" applyFill="1" applyBorder="1" applyAlignment="1">
      <alignment horizontal="center" wrapText="1"/>
    </xf>
    <xf numFmtId="49" fontId="3" fillId="2" borderId="17" xfId="14" applyNumberFormat="1" applyFont="1" applyFill="1" applyBorder="1" applyAlignment="1">
      <alignment horizontal="center"/>
    </xf>
    <xf numFmtId="166" fontId="3" fillId="2" borderId="1" xfId="0" applyNumberFormat="1" applyFont="1" applyFill="1" applyBorder="1" applyAlignment="1"/>
    <xf numFmtId="0" fontId="17" fillId="2" borderId="0" xfId="0" applyFont="1" applyFill="1" applyAlignment="1">
      <alignment vertical="top"/>
    </xf>
    <xf numFmtId="1" fontId="2" fillId="2" borderId="0" xfId="2" applyNumberFormat="1" applyFont="1" applyFill="1" applyAlignment="1">
      <alignment horizontal="center" vertical="top" wrapText="1"/>
    </xf>
    <xf numFmtId="49" fontId="1" fillId="2" borderId="0" xfId="0" applyNumberFormat="1" applyFont="1" applyFill="1" applyBorder="1" applyAlignment="1">
      <alignment vertical="top" wrapText="1"/>
    </xf>
    <xf numFmtId="0" fontId="3" fillId="2" borderId="1" xfId="0" applyFont="1" applyFill="1" applyBorder="1" applyAlignment="1">
      <alignment vertical="center" wrapText="1"/>
    </xf>
    <xf numFmtId="49" fontId="4" fillId="2" borderId="1" xfId="7" applyNumberFormat="1" applyFont="1" applyFill="1" applyBorder="1" applyAlignment="1">
      <alignment horizontal="left" vertical="center" wrapText="1"/>
    </xf>
    <xf numFmtId="49" fontId="3" fillId="2" borderId="1" xfId="0" applyNumberFormat="1" applyFont="1" applyFill="1" applyBorder="1" applyAlignment="1">
      <alignment vertical="center" wrapText="1"/>
    </xf>
    <xf numFmtId="49" fontId="3" fillId="2" borderId="3" xfId="0" applyNumberFormat="1" applyFont="1" applyFill="1" applyBorder="1" applyAlignment="1">
      <alignment vertical="center" wrapText="1"/>
    </xf>
    <xf numFmtId="49" fontId="3" fillId="2" borderId="19" xfId="11" applyNumberFormat="1" applyFont="1" applyFill="1" applyBorder="1" applyAlignment="1">
      <alignment vertical="center" wrapText="1"/>
    </xf>
    <xf numFmtId="49" fontId="3" fillId="2" borderId="1" xfId="5" applyNumberFormat="1" applyFont="1" applyFill="1" applyBorder="1" applyAlignment="1">
      <alignment horizontal="left" vertical="center" wrapText="1"/>
    </xf>
    <xf numFmtId="49" fontId="1" fillId="2" borderId="3" xfId="0" applyNumberFormat="1" applyFont="1" applyFill="1" applyBorder="1" applyAlignment="1">
      <alignment vertical="center" wrapText="1"/>
    </xf>
    <xf numFmtId="2" fontId="3" fillId="2" borderId="3" xfId="0" applyNumberFormat="1" applyFont="1" applyFill="1" applyBorder="1" applyAlignment="1">
      <alignment vertical="center" wrapText="1"/>
    </xf>
    <xf numFmtId="49" fontId="3" fillId="2" borderId="3" xfId="7" applyNumberFormat="1" applyFont="1" applyFill="1" applyBorder="1" applyAlignment="1">
      <alignment vertical="center" wrapText="1"/>
    </xf>
    <xf numFmtId="49" fontId="3" fillId="2" borderId="1" xfId="7" applyNumberFormat="1" applyFont="1" applyFill="1" applyBorder="1" applyAlignment="1">
      <alignment vertical="center" wrapText="1"/>
    </xf>
    <xf numFmtId="49" fontId="3" fillId="2" borderId="1" xfId="0" applyNumberFormat="1" applyFont="1" applyFill="1" applyBorder="1" applyAlignment="1">
      <alignment horizontal="left" vertical="center" wrapText="1"/>
    </xf>
    <xf numFmtId="49" fontId="3" fillId="2" borderId="3" xfId="5" applyNumberFormat="1" applyFont="1" applyFill="1" applyBorder="1" applyAlignment="1">
      <alignment horizontal="left" vertical="center" wrapText="1"/>
    </xf>
    <xf numFmtId="49" fontId="1" fillId="2" borderId="26" xfId="16" applyNumberFormat="1" applyFont="1" applyFill="1" applyBorder="1" applyAlignment="1">
      <alignment vertical="center" wrapText="1"/>
    </xf>
    <xf numFmtId="49" fontId="1" fillId="2" borderId="3" xfId="5" applyNumberFormat="1" applyFont="1" applyFill="1" applyBorder="1" applyAlignment="1">
      <alignment horizontal="left" vertical="center" wrapText="1"/>
    </xf>
    <xf numFmtId="49" fontId="4" fillId="2" borderId="1" xfId="7" applyNumberFormat="1" applyFont="1" applyFill="1" applyBorder="1" applyAlignment="1">
      <alignment vertical="center" wrapText="1"/>
    </xf>
    <xf numFmtId="49" fontId="3" fillId="3" borderId="3" xfId="0" applyNumberFormat="1" applyFont="1" applyFill="1" applyBorder="1" applyAlignment="1">
      <alignment vertical="center" wrapText="1"/>
    </xf>
    <xf numFmtId="49" fontId="3" fillId="3" borderId="3" xfId="0" applyNumberFormat="1" applyFont="1" applyFill="1" applyBorder="1" applyAlignment="1">
      <alignment horizontal="left" vertical="center" wrapText="1"/>
    </xf>
    <xf numFmtId="49" fontId="3" fillId="2" borderId="1" xfId="6" applyNumberFormat="1" applyFont="1" applyFill="1" applyBorder="1" applyAlignment="1">
      <alignment horizontal="left" vertical="center" wrapText="1"/>
    </xf>
    <xf numFmtId="49" fontId="3" fillId="2" borderId="1" xfId="4" applyNumberFormat="1" applyFont="1" applyFill="1" applyBorder="1" applyAlignment="1" applyProtection="1">
      <alignment horizontal="left" vertical="center" wrapText="1"/>
      <protection hidden="1"/>
    </xf>
    <xf numFmtId="49" fontId="3" fillId="2" borderId="3" xfId="6" applyNumberFormat="1" applyFont="1" applyFill="1" applyBorder="1" applyAlignment="1">
      <alignment horizontal="left" vertical="center" wrapText="1"/>
    </xf>
    <xf numFmtId="49" fontId="1" fillId="2" borderId="29" xfId="14" applyNumberFormat="1" applyFont="1" applyFill="1" applyBorder="1" applyAlignment="1">
      <alignment vertical="center" wrapText="1"/>
    </xf>
    <xf numFmtId="49" fontId="1" fillId="2" borderId="13" xfId="14" applyNumberFormat="1" applyFont="1" applyFill="1" applyBorder="1" applyAlignment="1">
      <alignment vertical="center" wrapText="1"/>
    </xf>
    <xf numFmtId="49" fontId="1" fillId="2" borderId="1" xfId="14" applyNumberFormat="1" applyFont="1" applyFill="1" applyBorder="1" applyAlignment="1">
      <alignment vertical="center" wrapText="1"/>
    </xf>
    <xf numFmtId="49" fontId="1" fillId="2" borderId="19" xfId="14" applyNumberFormat="1" applyFont="1" applyFill="1" applyBorder="1" applyAlignment="1">
      <alignment vertical="center" wrapText="1"/>
    </xf>
    <xf numFmtId="49" fontId="4" fillId="2" borderId="1" xfId="5" applyNumberFormat="1" applyFont="1" applyFill="1" applyBorder="1" applyAlignment="1">
      <alignment horizontal="left" vertical="center" wrapText="1"/>
    </xf>
    <xf numFmtId="49" fontId="3" fillId="2" borderId="1" xfId="5" applyNumberFormat="1" applyFont="1" applyFill="1" applyBorder="1" applyAlignment="1">
      <alignment vertical="center" wrapText="1"/>
    </xf>
    <xf numFmtId="49" fontId="3" fillId="2" borderId="3" xfId="5" applyNumberFormat="1" applyFont="1" applyFill="1" applyBorder="1" applyAlignment="1">
      <alignment vertical="center" wrapText="1"/>
    </xf>
    <xf numFmtId="49" fontId="3" fillId="2" borderId="21" xfId="14" applyNumberFormat="1" applyFont="1" applyFill="1" applyBorder="1" applyAlignment="1">
      <alignment vertical="center" wrapText="1"/>
    </xf>
    <xf numFmtId="49" fontId="3" fillId="2" borderId="16" xfId="14" applyNumberFormat="1" applyFont="1" applyFill="1" applyBorder="1" applyAlignment="1">
      <alignment vertical="center" wrapText="1"/>
    </xf>
    <xf numFmtId="49" fontId="3" fillId="2" borderId="17" xfId="5" applyNumberFormat="1" applyFont="1" applyFill="1" applyBorder="1" applyAlignment="1">
      <alignment vertical="center" wrapText="1"/>
    </xf>
    <xf numFmtId="49" fontId="3" fillId="2" borderId="18" xfId="16" applyNumberFormat="1" applyFont="1" applyFill="1" applyBorder="1" applyAlignment="1">
      <alignment vertical="center" wrapText="1"/>
    </xf>
    <xf numFmtId="49" fontId="3" fillId="2" borderId="16" xfId="16" applyNumberFormat="1" applyFont="1" applyFill="1" applyBorder="1" applyAlignment="1">
      <alignment vertical="center" wrapText="1"/>
    </xf>
    <xf numFmtId="49" fontId="3" fillId="2" borderId="19" xfId="16" applyNumberFormat="1" applyFont="1" applyFill="1" applyBorder="1" applyAlignment="1">
      <alignment vertical="center" wrapText="1"/>
    </xf>
    <xf numFmtId="0" fontId="3" fillId="2" borderId="1" xfId="0" applyNumberFormat="1" applyFont="1" applyFill="1" applyBorder="1" applyAlignment="1">
      <alignment vertical="center" wrapText="1"/>
    </xf>
    <xf numFmtId="49" fontId="3" fillId="2" borderId="16" xfId="5" applyNumberFormat="1" applyFont="1" applyFill="1" applyBorder="1" applyAlignment="1">
      <alignment vertical="center" wrapText="1"/>
    </xf>
    <xf numFmtId="49" fontId="3" fillId="2" borderId="19" xfId="5" applyNumberFormat="1" applyFont="1" applyFill="1" applyBorder="1" applyAlignment="1">
      <alignment vertical="center" wrapText="1"/>
    </xf>
    <xf numFmtId="49" fontId="3" fillId="2" borderId="26" xfId="5" applyNumberFormat="1" applyFont="1" applyFill="1" applyBorder="1" applyAlignment="1">
      <alignment vertical="center" wrapText="1"/>
    </xf>
    <xf numFmtId="11" fontId="3" fillId="2" borderId="3" xfId="0" applyNumberFormat="1" applyFont="1" applyFill="1" applyBorder="1" applyAlignment="1">
      <alignment vertical="center" wrapText="1"/>
    </xf>
    <xf numFmtId="49" fontId="1" fillId="2" borderId="3" xfId="4" applyNumberFormat="1" applyFont="1" applyFill="1" applyBorder="1" applyAlignment="1" applyProtection="1">
      <alignment horizontal="left" vertical="center" wrapText="1"/>
      <protection hidden="1"/>
    </xf>
    <xf numFmtId="49" fontId="4" fillId="2" borderId="1" xfId="4" applyNumberFormat="1" applyFont="1" applyFill="1" applyBorder="1" applyAlignment="1" applyProtection="1">
      <alignment horizontal="left" vertical="center" wrapText="1"/>
      <protection hidden="1"/>
    </xf>
    <xf numFmtId="49" fontId="3" fillId="2" borderId="3" xfId="4" applyNumberFormat="1" applyFont="1" applyFill="1" applyBorder="1" applyAlignment="1" applyProtection="1">
      <alignment horizontal="left" vertical="center" wrapText="1"/>
      <protection hidden="1"/>
    </xf>
    <xf numFmtId="49" fontId="3" fillId="2" borderId="3" xfId="0" applyNumberFormat="1" applyFont="1" applyFill="1" applyBorder="1" applyAlignment="1">
      <alignment horizontal="left" vertical="center" wrapText="1"/>
    </xf>
    <xf numFmtId="49" fontId="3" fillId="2" borderId="29" xfId="14" applyNumberFormat="1" applyFont="1" applyFill="1" applyBorder="1" applyAlignment="1">
      <alignment vertical="center" wrapText="1"/>
    </xf>
    <xf numFmtId="49" fontId="3" fillId="2" borderId="13" xfId="14" applyNumberFormat="1" applyFont="1" applyFill="1" applyBorder="1" applyAlignment="1">
      <alignment vertical="center" wrapText="1"/>
    </xf>
    <xf numFmtId="49" fontId="3" fillId="2" borderId="1" xfId="14" applyNumberFormat="1" applyFont="1" applyFill="1" applyBorder="1" applyAlignment="1">
      <alignment vertical="center" wrapText="1"/>
    </xf>
    <xf numFmtId="49" fontId="3" fillId="2" borderId="19" xfId="14" applyNumberFormat="1" applyFont="1" applyFill="1" applyBorder="1" applyAlignment="1">
      <alignment vertical="center" wrapText="1"/>
    </xf>
    <xf numFmtId="49" fontId="3" fillId="2" borderId="22" xfId="14" applyNumberFormat="1" applyFont="1" applyFill="1" applyBorder="1" applyAlignment="1">
      <alignment vertical="center" wrapText="1"/>
    </xf>
    <xf numFmtId="49" fontId="3" fillId="2" borderId="28" xfId="14" applyNumberFormat="1" applyFont="1" applyFill="1" applyBorder="1" applyAlignment="1">
      <alignment vertical="center" wrapText="1"/>
    </xf>
    <xf numFmtId="49" fontId="3" fillId="2" borderId="28" xfId="16" applyNumberFormat="1" applyFont="1" applyFill="1" applyBorder="1" applyAlignment="1">
      <alignment vertical="center" wrapText="1"/>
    </xf>
    <xf numFmtId="49" fontId="1" fillId="2" borderId="19" xfId="16" applyNumberFormat="1" applyFont="1" applyFill="1" applyBorder="1" applyAlignment="1">
      <alignment vertical="center" wrapText="1"/>
    </xf>
    <xf numFmtId="49" fontId="4" fillId="2" borderId="3" xfId="0" applyNumberFormat="1" applyFont="1" applyFill="1" applyBorder="1" applyAlignment="1">
      <alignment vertical="center" wrapText="1"/>
    </xf>
    <xf numFmtId="49" fontId="4" fillId="2" borderId="1" xfId="0" applyNumberFormat="1" applyFont="1" applyFill="1" applyBorder="1" applyAlignment="1">
      <alignment horizontal="left" vertical="center" wrapText="1"/>
    </xf>
    <xf numFmtId="49" fontId="2" fillId="2" borderId="3" xfId="0" applyNumberFormat="1" applyFont="1" applyFill="1" applyBorder="1" applyAlignment="1">
      <alignment vertical="center" wrapText="1"/>
    </xf>
    <xf numFmtId="11" fontId="1" fillId="2" borderId="3" xfId="0" applyNumberFormat="1" applyFont="1" applyFill="1" applyBorder="1" applyAlignment="1">
      <alignment vertical="center" wrapText="1"/>
    </xf>
    <xf numFmtId="49" fontId="1" fillId="2" borderId="3" xfId="6" applyNumberFormat="1" applyFont="1" applyFill="1" applyBorder="1" applyAlignment="1">
      <alignment horizontal="left" vertical="center" wrapText="1"/>
    </xf>
    <xf numFmtId="49" fontId="1" fillId="2" borderId="3" xfId="0" applyNumberFormat="1" applyFont="1" applyFill="1" applyBorder="1" applyAlignment="1">
      <alignment horizontal="left" vertical="center" wrapText="1"/>
    </xf>
    <xf numFmtId="49" fontId="1" fillId="2" borderId="3" xfId="5" applyNumberFormat="1" applyFont="1" applyFill="1" applyBorder="1" applyAlignment="1">
      <alignment vertical="center" wrapText="1"/>
    </xf>
    <xf numFmtId="49" fontId="1" fillId="2" borderId="1" xfId="16" applyNumberFormat="1" applyFont="1" applyFill="1" applyBorder="1" applyAlignment="1">
      <alignment vertical="center" wrapText="1"/>
    </xf>
    <xf numFmtId="49" fontId="2" fillId="2" borderId="22" xfId="16" applyNumberFormat="1" applyFont="1" applyFill="1" applyBorder="1" applyAlignment="1">
      <alignment vertical="center" wrapText="1"/>
    </xf>
    <xf numFmtId="49" fontId="1" fillId="2" borderId="19" xfId="5" applyNumberFormat="1" applyFont="1" applyFill="1" applyBorder="1" applyAlignment="1">
      <alignment vertical="center" wrapText="1"/>
    </xf>
    <xf numFmtId="49" fontId="1" fillId="2" borderId="18" xfId="5" applyNumberFormat="1" applyFont="1" applyFill="1" applyBorder="1" applyAlignment="1">
      <alignment vertical="center" wrapText="1"/>
    </xf>
    <xf numFmtId="49" fontId="1" fillId="2" borderId="22" xfId="14" applyNumberFormat="1" applyFont="1" applyFill="1" applyBorder="1" applyAlignment="1">
      <alignment vertical="center" wrapText="1"/>
    </xf>
    <xf numFmtId="49" fontId="1" fillId="2" borderId="18" xfId="14" applyNumberFormat="1" applyFont="1" applyFill="1" applyBorder="1" applyAlignment="1">
      <alignment vertical="center" wrapText="1"/>
    </xf>
    <xf numFmtId="49" fontId="1" fillId="2" borderId="20" xfId="16" applyNumberFormat="1" applyFont="1" applyFill="1" applyBorder="1" applyAlignment="1">
      <alignment vertical="center" wrapText="1"/>
    </xf>
    <xf numFmtId="49" fontId="1" fillId="2" borderId="16" xfId="16" applyNumberFormat="1" applyFont="1" applyFill="1" applyBorder="1" applyAlignment="1">
      <alignment vertical="center" wrapText="1"/>
    </xf>
    <xf numFmtId="49" fontId="1" fillId="2" borderId="18" xfId="16" applyNumberFormat="1" applyFont="1" applyFill="1" applyBorder="1" applyAlignment="1">
      <alignment vertical="center" wrapText="1"/>
    </xf>
    <xf numFmtId="49" fontId="1" fillId="2" borderId="38" xfId="16" applyNumberFormat="1" applyFont="1" applyFill="1" applyBorder="1" applyAlignment="1">
      <alignment vertical="center" wrapText="1"/>
    </xf>
    <xf numFmtId="49" fontId="1" fillId="2" borderId="19" xfId="16" applyNumberFormat="1" applyFont="1" applyFill="1" applyBorder="1" applyAlignment="1">
      <alignment horizontal="left" vertical="center" wrapText="1"/>
    </xf>
    <xf numFmtId="49" fontId="1" fillId="2" borderId="19" xfId="6" applyNumberFormat="1" applyFont="1" applyFill="1" applyBorder="1" applyAlignment="1">
      <alignment horizontal="left" vertical="center" wrapText="1"/>
    </xf>
    <xf numFmtId="49" fontId="1" fillId="2" borderId="19" xfId="8" applyNumberFormat="1" applyFont="1" applyFill="1" applyBorder="1" applyAlignment="1">
      <alignment vertical="center" wrapText="1"/>
    </xf>
    <xf numFmtId="49" fontId="1" fillId="2" borderId="19" xfId="11" applyNumberFormat="1" applyFont="1" applyFill="1" applyBorder="1" applyAlignment="1">
      <alignment vertical="center" wrapText="1"/>
    </xf>
    <xf numFmtId="49" fontId="1" fillId="2" borderId="19" xfId="5" applyNumberFormat="1" applyFont="1" applyFill="1" applyBorder="1" applyAlignment="1">
      <alignment horizontal="left" vertical="center" wrapText="1"/>
    </xf>
    <xf numFmtId="49" fontId="1" fillId="2" borderId="3" xfId="7" applyNumberFormat="1" applyFont="1" applyFill="1" applyBorder="1" applyAlignment="1">
      <alignment vertical="center" wrapText="1"/>
    </xf>
    <xf numFmtId="2" fontId="1" fillId="2" borderId="3" xfId="0" applyNumberFormat="1" applyFont="1" applyFill="1" applyBorder="1" applyAlignment="1">
      <alignment vertical="center" wrapText="1"/>
    </xf>
    <xf numFmtId="49" fontId="2" fillId="2" borderId="3" xfId="0" applyNumberFormat="1" applyFont="1" applyFill="1" applyBorder="1" applyAlignment="1">
      <alignment horizontal="left" vertical="center" wrapText="1"/>
    </xf>
    <xf numFmtId="49" fontId="1" fillId="2" borderId="1" xfId="5" applyNumberFormat="1" applyFont="1" applyFill="1" applyBorder="1" applyAlignment="1">
      <alignment horizontal="left" vertical="center" wrapText="1"/>
    </xf>
    <xf numFmtId="49" fontId="1" fillId="2" borderId="0" xfId="16" applyNumberFormat="1" applyFont="1" applyFill="1" applyBorder="1" applyAlignment="1">
      <alignment vertical="center" wrapText="1"/>
    </xf>
    <xf numFmtId="49" fontId="1" fillId="3" borderId="3" xfId="0" applyNumberFormat="1" applyFont="1" applyFill="1" applyBorder="1" applyAlignment="1">
      <alignment vertical="center" wrapText="1"/>
    </xf>
    <xf numFmtId="49" fontId="1" fillId="3" borderId="3" xfId="0" applyNumberFormat="1" applyFont="1" applyFill="1" applyBorder="1" applyAlignment="1">
      <alignment horizontal="left" vertical="center" wrapText="1"/>
    </xf>
    <xf numFmtId="0" fontId="1" fillId="2" borderId="3" xfId="0" applyNumberFormat="1" applyFont="1" applyFill="1" applyBorder="1" applyAlignment="1">
      <alignment vertical="center" wrapText="1"/>
    </xf>
    <xf numFmtId="4" fontId="1" fillId="2" borderId="3" xfId="0" applyNumberFormat="1" applyFont="1" applyFill="1" applyBorder="1" applyAlignment="1">
      <alignment vertical="center" wrapText="1"/>
    </xf>
    <xf numFmtId="0" fontId="1" fillId="2" borderId="1" xfId="3" applyFont="1" applyFill="1" applyBorder="1" applyAlignment="1">
      <alignment vertical="center" wrapText="1"/>
    </xf>
    <xf numFmtId="49" fontId="1" fillId="2" borderId="1" xfId="0" applyNumberFormat="1" applyFont="1" applyFill="1" applyBorder="1" applyAlignment="1">
      <alignment vertical="center" wrapText="1"/>
    </xf>
    <xf numFmtId="49" fontId="2" fillId="2" borderId="19" xfId="16" applyNumberFormat="1" applyFont="1" applyFill="1" applyBorder="1" applyAlignment="1">
      <alignment vertical="center" wrapText="1"/>
    </xf>
    <xf numFmtId="49" fontId="2" fillId="2" borderId="1" xfId="0" applyNumberFormat="1" applyFont="1" applyFill="1" applyBorder="1" applyAlignment="1">
      <alignment horizontal="left" vertical="center" wrapText="1"/>
    </xf>
    <xf numFmtId="49" fontId="1" fillId="2" borderId="1" xfId="0" applyNumberFormat="1" applyFont="1" applyFill="1" applyBorder="1" applyAlignment="1">
      <alignment horizontal="left" vertical="center" wrapText="1"/>
    </xf>
    <xf numFmtId="49" fontId="1" fillId="2" borderId="21" xfId="16" applyNumberFormat="1" applyFont="1" applyFill="1" applyBorder="1" applyAlignment="1">
      <alignment horizontal="center"/>
    </xf>
    <xf numFmtId="0" fontId="3" fillId="2" borderId="1" xfId="8" applyFont="1" applyFill="1" applyBorder="1" applyAlignment="1">
      <alignment horizontal="center" vertical="top"/>
    </xf>
    <xf numFmtId="167" fontId="3" fillId="2" borderId="1" xfId="1" applyNumberFormat="1" applyFont="1" applyFill="1" applyBorder="1" applyAlignment="1"/>
    <xf numFmtId="0" fontId="3" fillId="0" borderId="0" xfId="1" applyFont="1" applyFill="1" applyBorder="1" applyAlignment="1">
      <alignment wrapText="1"/>
    </xf>
    <xf numFmtId="170" fontId="3" fillId="0" borderId="0" xfId="1" applyNumberFormat="1" applyFont="1" applyFill="1" applyAlignment="1">
      <alignment horizontal="right"/>
    </xf>
    <xf numFmtId="0" fontId="3" fillId="0" borderId="0" xfId="1" applyFont="1"/>
    <xf numFmtId="49" fontId="1" fillId="2" borderId="3" xfId="0" applyNumberFormat="1" applyFont="1" applyFill="1" applyBorder="1" applyAlignment="1">
      <alignment wrapText="1"/>
    </xf>
    <xf numFmtId="0" fontId="1" fillId="2" borderId="1" xfId="14" applyFont="1" applyFill="1" applyBorder="1" applyAlignment="1">
      <alignment horizontal="center" vertical="top"/>
    </xf>
    <xf numFmtId="49" fontId="3" fillId="2" borderId="19" xfId="11" applyNumberFormat="1" applyFont="1" applyFill="1" applyBorder="1" applyAlignment="1">
      <alignment wrapText="1"/>
    </xf>
    <xf numFmtId="49" fontId="3" fillId="2" borderId="23" xfId="11" applyNumberFormat="1" applyFont="1" applyFill="1" applyBorder="1" applyAlignment="1">
      <alignment horizontal="center" wrapText="1"/>
    </xf>
    <xf numFmtId="49" fontId="3" fillId="2" borderId="23" xfId="11" applyNumberFormat="1" applyFont="1" applyFill="1" applyBorder="1" applyAlignment="1">
      <alignment horizontal="center"/>
    </xf>
    <xf numFmtId="166" fontId="3" fillId="2" borderId="1" xfId="16" applyNumberFormat="1" applyFont="1" applyFill="1" applyBorder="1" applyAlignment="1">
      <alignment horizontal="right"/>
    </xf>
    <xf numFmtId="0" fontId="1" fillId="2" borderId="30" xfId="16" applyFont="1" applyFill="1" applyBorder="1" applyAlignment="1">
      <alignment horizontal="center" vertical="top"/>
    </xf>
    <xf numFmtId="49" fontId="1" fillId="2" borderId="33" xfId="11" applyNumberFormat="1" applyFont="1" applyFill="1" applyBorder="1" applyAlignment="1">
      <alignment horizontal="center" wrapText="1"/>
    </xf>
    <xf numFmtId="49" fontId="1" fillId="2" borderId="10" xfId="0" applyNumberFormat="1" applyFont="1" applyFill="1" applyBorder="1" applyAlignment="1">
      <alignment horizontal="center"/>
    </xf>
    <xf numFmtId="49" fontId="1" fillId="2" borderId="43" xfId="16" applyNumberFormat="1" applyFont="1" applyFill="1" applyBorder="1" applyAlignment="1">
      <alignment horizontal="center"/>
    </xf>
    <xf numFmtId="49" fontId="3" fillId="2" borderId="42" xfId="11" applyNumberFormat="1" applyFont="1" applyFill="1" applyBorder="1" applyAlignment="1">
      <alignment horizontal="center"/>
    </xf>
    <xf numFmtId="49" fontId="3" fillId="2" borderId="9" xfId="16" applyNumberFormat="1" applyFont="1" applyFill="1" applyBorder="1" applyAlignment="1">
      <alignment horizontal="center"/>
    </xf>
    <xf numFmtId="49" fontId="3" fillId="2" borderId="3" xfId="16" applyNumberFormat="1" applyFont="1" applyFill="1" applyBorder="1" applyAlignment="1">
      <alignment horizontal="center"/>
    </xf>
    <xf numFmtId="0" fontId="3" fillId="2" borderId="1" xfId="8" applyFont="1" applyFill="1" applyBorder="1" applyAlignment="1">
      <alignment vertical="top" wrapText="1"/>
    </xf>
    <xf numFmtId="0" fontId="4" fillId="2" borderId="15" xfId="3" applyFont="1" applyFill="1" applyBorder="1" applyAlignment="1">
      <alignment horizontal="center" vertical="top"/>
    </xf>
    <xf numFmtId="0" fontId="4" fillId="2" borderId="12" xfId="3" applyFont="1" applyFill="1" applyBorder="1" applyAlignment="1">
      <alignment vertical="top" wrapText="1"/>
    </xf>
    <xf numFmtId="0" fontId="3" fillId="2" borderId="12" xfId="3" applyFont="1" applyFill="1" applyBorder="1" applyAlignment="1">
      <alignment vertical="top" wrapText="1"/>
    </xf>
    <xf numFmtId="0" fontId="3" fillId="2" borderId="13" xfId="3" applyFont="1" applyFill="1" applyBorder="1" applyAlignment="1">
      <alignment vertical="top" wrapText="1"/>
    </xf>
    <xf numFmtId="174" fontId="3" fillId="2" borderId="10" xfId="0" applyNumberFormat="1" applyFont="1" applyFill="1" applyBorder="1" applyAlignment="1">
      <alignment vertical="top"/>
    </xf>
    <xf numFmtId="49" fontId="3" fillId="2" borderId="40" xfId="11" applyNumberFormat="1" applyFont="1" applyFill="1" applyBorder="1" applyAlignment="1">
      <alignment horizontal="center" wrapText="1"/>
    </xf>
    <xf numFmtId="49" fontId="3" fillId="2" borderId="41" xfId="11" applyNumberFormat="1" applyFont="1" applyFill="1" applyBorder="1" applyAlignment="1">
      <alignment horizontal="center"/>
    </xf>
    <xf numFmtId="0" fontId="1" fillId="2" borderId="0" xfId="3" applyFont="1" applyFill="1" applyAlignment="1">
      <alignment wrapText="1"/>
    </xf>
    <xf numFmtId="0" fontId="1" fillId="2" borderId="21" xfId="16" applyFont="1" applyFill="1" applyBorder="1" applyAlignment="1">
      <alignment horizontal="center" vertical="top"/>
    </xf>
    <xf numFmtId="49" fontId="1" fillId="2" borderId="1" xfId="5" applyNumberFormat="1" applyFont="1" applyFill="1" applyBorder="1" applyAlignment="1">
      <alignment vertical="center" wrapText="1"/>
    </xf>
    <xf numFmtId="0" fontId="1" fillId="2" borderId="5" xfId="14" applyFont="1" applyFill="1" applyBorder="1" applyAlignment="1">
      <alignment horizontal="center" vertical="top"/>
    </xf>
    <xf numFmtId="49" fontId="1" fillId="2" borderId="19" xfId="11" applyNumberFormat="1" applyFont="1" applyFill="1" applyBorder="1" applyAlignment="1">
      <alignment horizontal="center"/>
    </xf>
    <xf numFmtId="49" fontId="1" fillId="2" borderId="22" xfId="16" applyNumberFormat="1" applyFont="1" applyFill="1" applyBorder="1" applyAlignment="1">
      <alignment horizontal="left" vertical="center" wrapText="1"/>
    </xf>
    <xf numFmtId="49" fontId="1" fillId="2" borderId="21" xfId="5" applyNumberFormat="1" applyFont="1" applyFill="1" applyBorder="1" applyAlignment="1">
      <alignment horizontal="center" wrapText="1"/>
    </xf>
    <xf numFmtId="0" fontId="1" fillId="2" borderId="23" xfId="16" applyFont="1" applyFill="1" applyBorder="1" applyAlignment="1">
      <alignment horizontal="center" vertical="top"/>
    </xf>
    <xf numFmtId="0" fontId="3" fillId="2" borderId="1" xfId="1" applyFont="1" applyFill="1" applyBorder="1"/>
    <xf numFmtId="0" fontId="1" fillId="2" borderId="17" xfId="16" applyFont="1" applyFill="1" applyBorder="1" applyAlignment="1">
      <alignment horizontal="center" vertical="top"/>
    </xf>
    <xf numFmtId="166" fontId="3" fillId="2" borderId="0" xfId="1" applyNumberFormat="1" applyFont="1" applyFill="1" applyBorder="1" applyAlignment="1">
      <alignment vertical="top"/>
    </xf>
    <xf numFmtId="43" fontId="32" fillId="2" borderId="0" xfId="19" applyFont="1" applyFill="1"/>
    <xf numFmtId="49" fontId="1" fillId="2" borderId="25" xfId="16" applyNumberFormat="1" applyFont="1" applyFill="1" applyBorder="1" applyAlignment="1">
      <alignment horizontal="center"/>
    </xf>
    <xf numFmtId="0" fontId="1" fillId="2" borderId="0" xfId="7" applyFont="1" applyFill="1" applyAlignment="1">
      <alignment horizontal="left"/>
    </xf>
    <xf numFmtId="49" fontId="1" fillId="2" borderId="1" xfId="16" applyNumberFormat="1" applyFont="1" applyFill="1" applyBorder="1" applyAlignment="1">
      <alignment horizontal="center"/>
    </xf>
    <xf numFmtId="0" fontId="3" fillId="2" borderId="0" xfId="7" applyFont="1" applyFill="1" applyBorder="1" applyAlignment="1">
      <alignment horizontal="left" vertical="top"/>
    </xf>
    <xf numFmtId="0" fontId="3" fillId="2" borderId="0" xfId="7" applyFont="1" applyFill="1" applyAlignment="1">
      <alignment horizontal="left" vertical="top"/>
    </xf>
    <xf numFmtId="168" fontId="3" fillId="2" borderId="0" xfId="7" applyNumberFormat="1" applyFont="1" applyFill="1" applyAlignment="1">
      <alignment horizontal="right"/>
    </xf>
    <xf numFmtId="0" fontId="1" fillId="2" borderId="0" xfId="7" applyFont="1" applyFill="1" applyAlignment="1">
      <alignment horizontal="left"/>
    </xf>
    <xf numFmtId="49" fontId="1" fillId="2" borderId="19" xfId="11" applyNumberFormat="1" applyFont="1" applyFill="1" applyBorder="1" applyAlignment="1">
      <alignment horizontal="center" wrapText="1"/>
    </xf>
    <xf numFmtId="49" fontId="1" fillId="2" borderId="22" xfId="16" applyNumberFormat="1" applyFont="1" applyFill="1" applyBorder="1" applyAlignment="1">
      <alignment vertical="center" wrapText="1"/>
    </xf>
    <xf numFmtId="166" fontId="1" fillId="2" borderId="0" xfId="7" applyNumberFormat="1" applyFont="1" applyFill="1" applyAlignment="1">
      <alignment horizontal="right"/>
    </xf>
    <xf numFmtId="174" fontId="3" fillId="2" borderId="12" xfId="13" applyNumberFormat="1" applyFont="1" applyFill="1" applyBorder="1" applyAlignment="1">
      <alignment horizontal="right" vertical="center"/>
    </xf>
    <xf numFmtId="174" fontId="4" fillId="2" borderId="0" xfId="13" applyNumberFormat="1" applyFont="1" applyFill="1" applyBorder="1" applyAlignment="1">
      <alignment horizontal="right" vertical="center"/>
    </xf>
    <xf numFmtId="174" fontId="3" fillId="2" borderId="0" xfId="13" applyNumberFormat="1" applyFont="1" applyFill="1" applyBorder="1" applyAlignment="1">
      <alignment horizontal="right" vertical="center"/>
    </xf>
    <xf numFmtId="49" fontId="4" fillId="2" borderId="1" xfId="7" applyNumberFormat="1" applyFont="1" applyFill="1" applyBorder="1" applyAlignment="1">
      <alignment horizontal="left" wrapText="1"/>
    </xf>
    <xf numFmtId="166" fontId="6" fillId="2" borderId="1" xfId="0" applyNumberFormat="1" applyFont="1" applyFill="1" applyBorder="1" applyAlignment="1">
      <alignment horizontal="right" vertical="top"/>
    </xf>
    <xf numFmtId="166" fontId="6" fillId="2" borderId="1" xfId="0" applyNumberFormat="1" applyFont="1" applyFill="1" applyBorder="1" applyAlignment="1">
      <alignment vertical="top"/>
    </xf>
    <xf numFmtId="166" fontId="6" fillId="2" borderId="1" xfId="1" applyNumberFormat="1" applyFont="1" applyFill="1" applyBorder="1" applyAlignment="1">
      <alignment vertical="top"/>
    </xf>
    <xf numFmtId="49" fontId="1" fillId="2" borderId="1" xfId="4" applyNumberFormat="1" applyFont="1" applyFill="1" applyBorder="1" applyAlignment="1" applyProtection="1">
      <alignment horizontal="left" vertical="center" wrapText="1"/>
      <protection hidden="1"/>
    </xf>
    <xf numFmtId="174" fontId="1" fillId="2" borderId="13" xfId="19" applyNumberFormat="1" applyFont="1" applyFill="1" applyBorder="1" applyAlignment="1">
      <alignment horizontal="center"/>
    </xf>
    <xf numFmtId="49" fontId="1" fillId="2" borderId="1" xfId="7" applyNumberFormat="1" applyFont="1" applyFill="1" applyBorder="1" applyAlignment="1">
      <alignment horizontal="left" wrapText="1"/>
    </xf>
    <xf numFmtId="49" fontId="1" fillId="2" borderId="3" xfId="5" applyNumberFormat="1" applyFont="1" applyFill="1" applyBorder="1" applyAlignment="1">
      <alignment horizontal="left" wrapText="1"/>
    </xf>
    <xf numFmtId="49" fontId="1" fillId="2" borderId="44" xfId="6" applyNumberFormat="1" applyFont="1" applyFill="1" applyBorder="1" applyAlignment="1">
      <alignment horizontal="center"/>
    </xf>
    <xf numFmtId="49" fontId="1" fillId="2" borderId="38" xfId="16" applyNumberFormat="1" applyFont="1" applyFill="1" applyBorder="1" applyAlignment="1">
      <alignment horizontal="center"/>
    </xf>
    <xf numFmtId="49" fontId="1" fillId="2" borderId="26" xfId="11" applyNumberFormat="1" applyFont="1" applyFill="1" applyBorder="1" applyAlignment="1">
      <alignment horizontal="center"/>
    </xf>
    <xf numFmtId="49" fontId="1" fillId="2" borderId="22" xfId="11" applyNumberFormat="1" applyFont="1" applyFill="1" applyBorder="1" applyAlignment="1">
      <alignment horizontal="center"/>
    </xf>
    <xf numFmtId="49" fontId="1" fillId="2" borderId="21" xfId="12" applyNumberFormat="1" applyFont="1" applyFill="1" applyBorder="1" applyAlignment="1">
      <alignment horizontal="center" wrapText="1"/>
    </xf>
    <xf numFmtId="49" fontId="1" fillId="2" borderId="21" xfId="12" applyNumberFormat="1" applyFont="1" applyFill="1" applyBorder="1" applyAlignment="1">
      <alignment horizontal="center"/>
    </xf>
    <xf numFmtId="168" fontId="3" fillId="2" borderId="1" xfId="0" applyNumberFormat="1" applyFont="1" applyFill="1" applyBorder="1" applyAlignment="1">
      <alignment horizontal="center" vertical="center" wrapText="1"/>
    </xf>
    <xf numFmtId="168" fontId="3" fillId="2" borderId="1" xfId="0" applyNumberFormat="1" applyFont="1" applyFill="1" applyBorder="1" applyAlignment="1">
      <alignment horizontal="center" wrapText="1"/>
    </xf>
    <xf numFmtId="168" fontId="1" fillId="2" borderId="1" xfId="0" applyNumberFormat="1" applyFont="1" applyFill="1" applyBorder="1" applyAlignment="1">
      <alignment vertical="center" wrapText="1"/>
    </xf>
    <xf numFmtId="169" fontId="3" fillId="2" borderId="1" xfId="0" applyNumberFormat="1" applyFont="1" applyFill="1" applyBorder="1" applyAlignment="1">
      <alignment horizontal="center" wrapText="1"/>
    </xf>
    <xf numFmtId="175" fontId="31" fillId="2" borderId="0" xfId="7" applyNumberFormat="1" applyFont="1" applyFill="1"/>
    <xf numFmtId="0" fontId="3" fillId="2" borderId="1" xfId="0" applyFont="1" applyFill="1" applyBorder="1" applyAlignment="1">
      <alignment horizontal="justify" vertical="top" wrapText="1"/>
    </xf>
    <xf numFmtId="49" fontId="1" fillId="2" borderId="2" xfId="11" applyNumberFormat="1" applyFont="1" applyFill="1" applyBorder="1" applyAlignment="1">
      <alignment horizontal="center"/>
    </xf>
    <xf numFmtId="49" fontId="1" fillId="2" borderId="9" xfId="16" applyNumberFormat="1" applyFont="1" applyFill="1" applyBorder="1" applyAlignment="1">
      <alignment horizontal="center"/>
    </xf>
    <xf numFmtId="49" fontId="1" fillId="2" borderId="3" xfId="16" applyNumberFormat="1" applyFont="1" applyFill="1" applyBorder="1" applyAlignment="1">
      <alignment horizontal="center" wrapText="1"/>
    </xf>
    <xf numFmtId="49" fontId="1" fillId="2" borderId="3" xfId="16" applyNumberFormat="1" applyFont="1" applyFill="1" applyBorder="1" applyAlignment="1">
      <alignment horizontal="center"/>
    </xf>
    <xf numFmtId="49" fontId="1" fillId="2" borderId="30" xfId="11" applyNumberFormat="1" applyFont="1" applyFill="1" applyBorder="1" applyAlignment="1">
      <alignment horizontal="center"/>
    </xf>
    <xf numFmtId="49" fontId="1" fillId="2" borderId="33" xfId="16" applyNumberFormat="1" applyFont="1" applyFill="1" applyBorder="1" applyAlignment="1">
      <alignment horizontal="center"/>
    </xf>
    <xf numFmtId="49" fontId="1" fillId="2" borderId="22" xfId="16" applyNumberFormat="1" applyFont="1" applyFill="1" applyBorder="1" applyAlignment="1">
      <alignment horizontal="center" wrapText="1"/>
    </xf>
    <xf numFmtId="49" fontId="1" fillId="2" borderId="26" xfId="11" applyNumberFormat="1" applyFont="1" applyFill="1" applyBorder="1" applyAlignment="1">
      <alignment horizontal="center" wrapText="1"/>
    </xf>
    <xf numFmtId="49" fontId="1" fillId="2" borderId="30" xfId="16" applyNumberFormat="1" applyFont="1" applyFill="1" applyBorder="1" applyAlignment="1">
      <alignment horizontal="center"/>
    </xf>
    <xf numFmtId="49" fontId="1" fillId="2" borderId="31" xfId="11" applyNumberFormat="1" applyFont="1" applyFill="1" applyBorder="1" applyAlignment="1">
      <alignment horizontal="center" wrapText="1"/>
    </xf>
    <xf numFmtId="49" fontId="1" fillId="2" borderId="37" xfId="16" applyNumberFormat="1" applyFont="1" applyFill="1" applyBorder="1" applyAlignment="1">
      <alignment vertical="center" wrapText="1"/>
    </xf>
    <xf numFmtId="49" fontId="1" fillId="2" borderId="26" xfId="11" applyNumberFormat="1" applyFont="1" applyFill="1" applyBorder="1" applyAlignment="1">
      <alignment vertical="center" wrapText="1"/>
    </xf>
    <xf numFmtId="166" fontId="1" fillId="2" borderId="5" xfId="0" applyNumberFormat="1" applyFont="1" applyFill="1" applyBorder="1" applyAlignment="1">
      <alignment horizontal="right"/>
    </xf>
    <xf numFmtId="0" fontId="6" fillId="2" borderId="1" xfId="7" applyFont="1" applyFill="1" applyBorder="1" applyAlignment="1">
      <alignment vertical="top" wrapText="1"/>
    </xf>
    <xf numFmtId="0" fontId="6" fillId="2" borderId="1" xfId="5" applyFont="1" applyFill="1" applyBorder="1" applyAlignment="1">
      <alignment horizontal="left" vertical="top" wrapText="1"/>
    </xf>
    <xf numFmtId="0" fontId="36" fillId="2" borderId="0" xfId="0" applyFont="1" applyFill="1" applyAlignment="1">
      <alignment wrapText="1"/>
    </xf>
    <xf numFmtId="49" fontId="1" fillId="2" borderId="22" xfId="11" applyNumberFormat="1" applyFont="1" applyFill="1" applyBorder="1" applyAlignment="1">
      <alignment vertical="center" wrapText="1"/>
    </xf>
    <xf numFmtId="49" fontId="1" fillId="2" borderId="21" xfId="11" applyNumberFormat="1" applyFont="1" applyFill="1" applyBorder="1" applyAlignment="1">
      <alignment horizontal="center" wrapText="1"/>
    </xf>
    <xf numFmtId="49" fontId="4" fillId="2" borderId="3" xfId="0" applyNumberFormat="1" applyFont="1" applyFill="1" applyBorder="1" applyAlignment="1">
      <alignment wrapText="1"/>
    </xf>
    <xf numFmtId="49" fontId="3" fillId="2" borderId="3" xfId="5" applyNumberFormat="1" applyFont="1" applyFill="1" applyBorder="1" applyAlignment="1">
      <alignment horizontal="left" wrapText="1"/>
    </xf>
    <xf numFmtId="49" fontId="3" fillId="2" borderId="0" xfId="0" applyNumberFormat="1" applyFont="1" applyFill="1" applyBorder="1" applyAlignment="1">
      <alignment vertical="center" wrapText="1"/>
    </xf>
    <xf numFmtId="166" fontId="1" fillId="2" borderId="0" xfId="16" applyNumberFormat="1" applyFont="1" applyFill="1" applyBorder="1" applyAlignment="1">
      <alignment horizontal="right"/>
    </xf>
    <xf numFmtId="49" fontId="1" fillId="2" borderId="3" xfId="8" applyNumberFormat="1" applyFont="1" applyFill="1" applyBorder="1" applyAlignment="1">
      <alignment vertical="center" wrapText="1"/>
    </xf>
    <xf numFmtId="0" fontId="3" fillId="2" borderId="0" xfId="7" applyFont="1" applyFill="1" applyBorder="1" applyAlignment="1">
      <alignment horizontal="left"/>
    </xf>
    <xf numFmtId="49" fontId="37" fillId="2" borderId="0" xfId="7" applyNumberFormat="1" applyFont="1" applyFill="1" applyBorder="1" applyAlignment="1">
      <alignment horizontal="center" vertical="top"/>
    </xf>
    <xf numFmtId="0" fontId="3" fillId="2" borderId="0" xfId="7" applyFont="1" applyFill="1" applyAlignment="1">
      <alignment horizontal="left"/>
    </xf>
    <xf numFmtId="49" fontId="4" fillId="2" borderId="0" xfId="7" applyNumberFormat="1" applyFont="1" applyFill="1" applyBorder="1" applyAlignment="1">
      <alignment vertical="top" wrapText="1"/>
    </xf>
    <xf numFmtId="166" fontId="3" fillId="2" borderId="0" xfId="7" applyNumberFormat="1" applyFont="1" applyFill="1" applyBorder="1" applyAlignment="1">
      <alignment horizontal="center"/>
    </xf>
    <xf numFmtId="166" fontId="3" fillId="2" borderId="0" xfId="7" applyNumberFormat="1" applyFont="1" applyFill="1"/>
    <xf numFmtId="49" fontId="2" fillId="2" borderId="0" xfId="7" applyNumberFormat="1" applyFont="1" applyFill="1" applyBorder="1" applyAlignment="1">
      <alignment vertical="top" wrapText="1"/>
    </xf>
    <xf numFmtId="49" fontId="3" fillId="2" borderId="2" xfId="7" applyNumberFormat="1" applyFont="1" applyFill="1" applyBorder="1" applyAlignment="1">
      <alignment horizontal="center"/>
    </xf>
    <xf numFmtId="49" fontId="3" fillId="2" borderId="9" xfId="7" applyNumberFormat="1" applyFont="1" applyFill="1" applyBorder="1" applyAlignment="1">
      <alignment horizontal="center"/>
    </xf>
    <xf numFmtId="49" fontId="3" fillId="2" borderId="3" xfId="7" applyNumberFormat="1" applyFont="1" applyFill="1" applyBorder="1" applyAlignment="1">
      <alignment horizontal="center"/>
    </xf>
    <xf numFmtId="168" fontId="3" fillId="2" borderId="1" xfId="7" applyNumberFormat="1" applyFont="1" applyFill="1" applyBorder="1" applyAlignment="1">
      <alignment horizontal="center"/>
    </xf>
    <xf numFmtId="49" fontId="3" fillId="2" borderId="1" xfId="7" applyNumberFormat="1" applyFont="1" applyFill="1" applyBorder="1" applyAlignment="1">
      <alignment horizontal="center" vertical="center" wrapText="1"/>
    </xf>
    <xf numFmtId="49" fontId="3" fillId="2" borderId="1" xfId="7" applyNumberFormat="1" applyFont="1" applyFill="1" applyBorder="1" applyAlignment="1">
      <alignment horizontal="center" vertical="center"/>
    </xf>
    <xf numFmtId="1" fontId="2" fillId="2" borderId="0" xfId="2" applyNumberFormat="1" applyFont="1" applyFill="1" applyAlignment="1">
      <alignment horizontal="center" wrapText="1"/>
    </xf>
    <xf numFmtId="49" fontId="1" fillId="2" borderId="2" xfId="0" applyNumberFormat="1" applyFont="1" applyFill="1" applyBorder="1" applyAlignment="1">
      <alignment horizontal="center"/>
    </xf>
    <xf numFmtId="49" fontId="1" fillId="2" borderId="9" xfId="0" applyNumberFormat="1" applyFont="1" applyFill="1" applyBorder="1" applyAlignment="1">
      <alignment horizontal="center"/>
    </xf>
    <xf numFmtId="49" fontId="1" fillId="2" borderId="3" xfId="0" applyNumberFormat="1" applyFont="1" applyFill="1" applyBorder="1" applyAlignment="1">
      <alignment horizontal="center"/>
    </xf>
    <xf numFmtId="170" fontId="1" fillId="2" borderId="2" xfId="1" applyNumberFormat="1" applyFont="1" applyFill="1" applyBorder="1" applyAlignment="1">
      <alignment horizontal="center" vertical="center" wrapText="1"/>
    </xf>
    <xf numFmtId="170" fontId="1" fillId="2" borderId="9" xfId="1" applyNumberFormat="1" applyFont="1" applyFill="1" applyBorder="1" applyAlignment="1">
      <alignment horizontal="center" vertical="center" wrapText="1"/>
    </xf>
    <xf numFmtId="170" fontId="1" fillId="2" borderId="3" xfId="1" applyNumberFormat="1" applyFont="1" applyFill="1" applyBorder="1" applyAlignment="1">
      <alignment horizontal="center" vertical="center" wrapText="1"/>
    </xf>
    <xf numFmtId="0" fontId="2" fillId="2" borderId="0" xfId="1" applyFont="1" applyFill="1" applyAlignment="1">
      <alignment horizontal="center" vertical="center" wrapText="1"/>
    </xf>
    <xf numFmtId="0" fontId="1" fillId="2" borderId="0" xfId="1" applyFont="1" applyFill="1" applyBorder="1" applyAlignment="1">
      <alignment horizontal="left" wrapText="1"/>
    </xf>
    <xf numFmtId="0" fontId="1" fillId="2" borderId="5" xfId="1" applyFont="1" applyFill="1" applyBorder="1" applyAlignment="1">
      <alignment horizontal="center" vertical="center"/>
    </xf>
    <xf numFmtId="0" fontId="1" fillId="2" borderId="13" xfId="1" applyFont="1" applyFill="1" applyBorder="1" applyAlignment="1">
      <alignment horizontal="center" vertical="center"/>
    </xf>
    <xf numFmtId="0" fontId="1" fillId="2" borderId="5" xfId="1" applyFont="1" applyFill="1" applyBorder="1" applyAlignment="1">
      <alignment horizontal="center" vertical="center" wrapText="1"/>
    </xf>
    <xf numFmtId="0" fontId="1" fillId="2" borderId="13" xfId="1" applyFont="1" applyFill="1" applyBorder="1" applyAlignment="1">
      <alignment horizontal="center" vertical="center" wrapText="1"/>
    </xf>
    <xf numFmtId="43" fontId="4" fillId="2" borderId="0" xfId="19" applyFont="1" applyFill="1" applyAlignment="1">
      <alignment horizontal="center" wrapText="1"/>
    </xf>
    <xf numFmtId="166" fontId="3" fillId="2" borderId="2" xfId="1" applyNumberFormat="1" applyFont="1" applyFill="1" applyBorder="1" applyAlignment="1">
      <alignment horizontal="center"/>
    </xf>
    <xf numFmtId="166" fontId="3" fillId="2" borderId="3" xfId="1" applyNumberFormat="1" applyFont="1" applyFill="1" applyBorder="1" applyAlignment="1">
      <alignment horizontal="center"/>
    </xf>
    <xf numFmtId="0" fontId="3" fillId="2" borderId="5" xfId="0" applyFont="1" applyFill="1" applyBorder="1" applyAlignment="1">
      <alignment horizontal="center" vertical="center"/>
    </xf>
    <xf numFmtId="0" fontId="3" fillId="2" borderId="13" xfId="0" applyFont="1" applyFill="1" applyBorder="1" applyAlignment="1">
      <alignment horizontal="center" vertical="center"/>
    </xf>
    <xf numFmtId="0" fontId="4" fillId="2" borderId="0" xfId="0" applyFont="1" applyFill="1" applyAlignment="1">
      <alignment horizontal="center" wrapText="1"/>
    </xf>
    <xf numFmtId="0" fontId="18" fillId="2" borderId="0" xfId="1" applyFont="1" applyFill="1" applyAlignment="1">
      <alignment horizontal="center" vertical="top" wrapText="1"/>
    </xf>
    <xf numFmtId="168" fontId="3" fillId="2" borderId="2" xfId="3" applyNumberFormat="1" applyFont="1" applyFill="1" applyBorder="1" applyAlignment="1">
      <alignment horizontal="center" vertical="center"/>
    </xf>
    <xf numFmtId="168" fontId="3" fillId="2" borderId="9" xfId="3" applyNumberFormat="1" applyFont="1" applyFill="1" applyBorder="1" applyAlignment="1">
      <alignment horizontal="center" vertical="center"/>
    </xf>
    <xf numFmtId="168" fontId="3" fillId="2" borderId="3" xfId="3" applyNumberFormat="1" applyFont="1" applyFill="1" applyBorder="1" applyAlignment="1">
      <alignment horizontal="center" vertical="center"/>
    </xf>
    <xf numFmtId="0" fontId="4" fillId="2" borderId="0" xfId="3" applyFont="1" applyFill="1" applyAlignment="1">
      <alignment horizontal="center"/>
    </xf>
    <xf numFmtId="0" fontId="3" fillId="2" borderId="5" xfId="3" applyFont="1" applyFill="1" applyBorder="1" applyAlignment="1">
      <alignment horizontal="center" vertical="center" wrapText="1"/>
    </xf>
    <xf numFmtId="0" fontId="3" fillId="2" borderId="13" xfId="3" applyFont="1" applyFill="1" applyBorder="1" applyAlignment="1">
      <alignment horizontal="center" vertical="center" wrapText="1"/>
    </xf>
    <xf numFmtId="0" fontId="3" fillId="2" borderId="5" xfId="3" applyFont="1" applyFill="1" applyBorder="1" applyAlignment="1">
      <alignment horizontal="center" vertical="center"/>
    </xf>
    <xf numFmtId="0" fontId="3" fillId="2" borderId="13" xfId="3" applyFont="1" applyFill="1" applyBorder="1" applyAlignment="1">
      <alignment horizontal="center" vertical="center"/>
    </xf>
    <xf numFmtId="1" fontId="4" fillId="2" borderId="0" xfId="2" applyNumberFormat="1" applyFont="1" applyFill="1" applyAlignment="1">
      <alignment horizontal="center" wrapText="1"/>
    </xf>
    <xf numFmtId="49" fontId="3" fillId="2" borderId="6" xfId="7" applyNumberFormat="1" applyFont="1" applyFill="1" applyBorder="1" applyAlignment="1">
      <alignment horizontal="center" vertical="center"/>
    </xf>
    <xf numFmtId="49" fontId="3" fillId="2" borderId="7" xfId="7" applyNumberFormat="1" applyFont="1" applyFill="1" applyBorder="1" applyAlignment="1">
      <alignment horizontal="center" vertical="center"/>
    </xf>
    <xf numFmtId="49" fontId="3" fillId="2" borderId="8" xfId="7" applyNumberFormat="1" applyFont="1" applyFill="1" applyBorder="1" applyAlignment="1">
      <alignment horizontal="center" vertical="center"/>
    </xf>
    <xf numFmtId="49" fontId="3" fillId="2" borderId="2" xfId="7" applyNumberFormat="1" applyFont="1" applyFill="1" applyBorder="1" applyAlignment="1">
      <alignment horizontal="center"/>
    </xf>
    <xf numFmtId="49" fontId="3" fillId="2" borderId="9" xfId="7" applyNumberFormat="1" applyFont="1" applyFill="1" applyBorder="1" applyAlignment="1">
      <alignment horizontal="center"/>
    </xf>
    <xf numFmtId="49" fontId="3" fillId="2" borderId="3" xfId="7" applyNumberFormat="1" applyFont="1" applyFill="1" applyBorder="1" applyAlignment="1">
      <alignment horizontal="center"/>
    </xf>
    <xf numFmtId="168" fontId="3" fillId="2" borderId="1" xfId="7" applyNumberFormat="1" applyFont="1" applyFill="1" applyBorder="1" applyAlignment="1">
      <alignment horizontal="center"/>
    </xf>
    <xf numFmtId="49" fontId="3" fillId="2" borderId="1" xfId="7" applyNumberFormat="1" applyFont="1" applyFill="1" applyBorder="1" applyAlignment="1">
      <alignment horizontal="center" vertical="center" wrapText="1"/>
    </xf>
    <xf numFmtId="49" fontId="3" fillId="2" borderId="1" xfId="7" applyNumberFormat="1" applyFont="1" applyFill="1" applyBorder="1" applyAlignment="1">
      <alignment horizontal="center" vertical="center"/>
    </xf>
    <xf numFmtId="1" fontId="2" fillId="2" borderId="0" xfId="2" applyNumberFormat="1" applyFont="1" applyFill="1" applyAlignment="1">
      <alignment horizontal="center" wrapText="1"/>
    </xf>
    <xf numFmtId="49" fontId="1" fillId="2" borderId="2" xfId="0" applyNumberFormat="1" applyFont="1" applyFill="1" applyBorder="1" applyAlignment="1">
      <alignment horizontal="center"/>
    </xf>
    <xf numFmtId="49" fontId="1" fillId="2" borderId="9" xfId="0" applyNumberFormat="1" applyFont="1" applyFill="1" applyBorder="1" applyAlignment="1">
      <alignment horizontal="center"/>
    </xf>
    <xf numFmtId="49" fontId="1" fillId="2" borderId="3" xfId="0" applyNumberFormat="1" applyFont="1" applyFill="1" applyBorder="1" applyAlignment="1">
      <alignment horizontal="center"/>
    </xf>
    <xf numFmtId="0" fontId="1" fillId="2" borderId="5"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5" xfId="3" applyFont="1" applyFill="1" applyBorder="1" applyAlignment="1">
      <alignment horizontal="center" vertical="center"/>
    </xf>
    <xf numFmtId="0" fontId="1" fillId="2" borderId="13" xfId="3" applyFont="1" applyFill="1" applyBorder="1" applyAlignment="1">
      <alignment horizontal="center" vertical="center"/>
    </xf>
    <xf numFmtId="49" fontId="1" fillId="2" borderId="5" xfId="0" applyNumberFormat="1" applyFont="1" applyFill="1" applyBorder="1" applyAlignment="1">
      <alignment horizontal="center" vertical="center"/>
    </xf>
    <xf numFmtId="49" fontId="1" fillId="2" borderId="13" xfId="0" applyNumberFormat="1" applyFont="1" applyFill="1" applyBorder="1" applyAlignment="1">
      <alignment horizontal="center" vertical="center"/>
    </xf>
    <xf numFmtId="49" fontId="1" fillId="2" borderId="6" xfId="0" applyNumberFormat="1" applyFont="1" applyFill="1" applyBorder="1" applyAlignment="1">
      <alignment horizontal="center" vertical="center"/>
    </xf>
    <xf numFmtId="49" fontId="1" fillId="2" borderId="7" xfId="0" applyNumberFormat="1" applyFont="1" applyFill="1" applyBorder="1" applyAlignment="1">
      <alignment horizontal="center" vertical="center"/>
    </xf>
    <xf numFmtId="49" fontId="1" fillId="2" borderId="8" xfId="0" applyNumberFormat="1" applyFont="1" applyFill="1" applyBorder="1" applyAlignment="1">
      <alignment horizontal="center" vertical="center"/>
    </xf>
    <xf numFmtId="49" fontId="1" fillId="2" borderId="14" xfId="0" applyNumberFormat="1" applyFont="1" applyFill="1" applyBorder="1" applyAlignment="1">
      <alignment horizontal="center" vertical="center"/>
    </xf>
    <xf numFmtId="49" fontId="1" fillId="2" borderId="4" xfId="0" applyNumberFormat="1" applyFont="1" applyFill="1" applyBorder="1" applyAlignment="1">
      <alignment horizontal="center" vertical="center"/>
    </xf>
    <xf numFmtId="49" fontId="1" fillId="2" borderId="10" xfId="0" applyNumberFormat="1" applyFont="1" applyFill="1" applyBorder="1" applyAlignment="1">
      <alignment horizontal="center" vertical="center"/>
    </xf>
    <xf numFmtId="43" fontId="33" fillId="2" borderId="5" xfId="19" applyFont="1" applyFill="1" applyBorder="1" applyAlignment="1">
      <alignment horizontal="center" vertical="center" wrapText="1"/>
    </xf>
    <xf numFmtId="43" fontId="33" fillId="2" borderId="13" xfId="19" applyFont="1" applyFill="1" applyBorder="1" applyAlignment="1">
      <alignment horizontal="center" vertical="center" wrapText="1"/>
    </xf>
    <xf numFmtId="43" fontId="3" fillId="2" borderId="2" xfId="19" applyFont="1" applyFill="1" applyBorder="1" applyAlignment="1">
      <alignment horizontal="center" vertical="center" wrapText="1"/>
    </xf>
    <xf numFmtId="43" fontId="3" fillId="2" borderId="3" xfId="19"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1" xfId="3" applyFont="1" applyFill="1" applyBorder="1" applyAlignment="1">
      <alignment horizontal="center" vertical="center"/>
    </xf>
    <xf numFmtId="49" fontId="1" fillId="2" borderId="1" xfId="0" applyNumberFormat="1" applyFont="1" applyFill="1" applyBorder="1" applyAlignment="1">
      <alignment horizontal="center" vertical="center"/>
    </xf>
    <xf numFmtId="49" fontId="1" fillId="2" borderId="3" xfId="0" applyNumberFormat="1" applyFont="1" applyFill="1" applyBorder="1" applyAlignment="1">
      <alignment horizontal="center" vertical="center"/>
    </xf>
    <xf numFmtId="169" fontId="3" fillId="2" borderId="1" xfId="0" applyNumberFormat="1" applyFont="1" applyFill="1" applyBorder="1" applyAlignment="1">
      <alignment horizontal="center" vertical="center" wrapText="1"/>
    </xf>
    <xf numFmtId="169" fontId="16" fillId="2" borderId="1" xfId="0" applyNumberFormat="1" applyFont="1" applyFill="1" applyBorder="1" applyAlignment="1">
      <alignment horizontal="center" vertical="center" wrapText="1"/>
    </xf>
    <xf numFmtId="49" fontId="34" fillId="2" borderId="5" xfId="0" applyNumberFormat="1" applyFont="1" applyFill="1" applyBorder="1" applyAlignment="1">
      <alignment horizontal="center" vertical="center" wrapText="1"/>
    </xf>
    <xf numFmtId="0" fontId="35" fillId="2" borderId="13" xfId="0" applyFont="1" applyFill="1" applyBorder="1" applyAlignment="1">
      <alignment horizontal="center" vertical="center" wrapText="1"/>
    </xf>
    <xf numFmtId="0" fontId="2" fillId="2" borderId="0" xfId="3" applyFont="1" applyFill="1" applyAlignment="1">
      <alignment horizontal="center" wrapText="1"/>
    </xf>
    <xf numFmtId="0" fontId="0" fillId="2" borderId="0" xfId="0" applyFill="1" applyAlignment="1"/>
    <xf numFmtId="0" fontId="3" fillId="2" borderId="2" xfId="3" applyFont="1" applyFill="1" applyBorder="1" applyAlignment="1">
      <alignment horizontal="center" vertical="center" wrapText="1"/>
    </xf>
    <xf numFmtId="0" fontId="3" fillId="2" borderId="9" xfId="3" applyFont="1" applyFill="1" applyBorder="1" applyAlignment="1">
      <alignment horizontal="center" vertical="center" wrapText="1"/>
    </xf>
    <xf numFmtId="0" fontId="3" fillId="2" borderId="3" xfId="3" applyFont="1" applyFill="1" applyBorder="1" applyAlignment="1">
      <alignment horizontal="center" vertical="center" wrapText="1"/>
    </xf>
    <xf numFmtId="0" fontId="3" fillId="2" borderId="2"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3" xfId="0" applyFont="1" applyFill="1" applyBorder="1" applyAlignment="1">
      <alignment horizontal="center" vertical="center"/>
    </xf>
    <xf numFmtId="0" fontId="4" fillId="2" borderId="0" xfId="0" applyFont="1" applyFill="1" applyAlignment="1">
      <alignment horizontal="center" vertical="center" wrapText="1"/>
    </xf>
    <xf numFmtId="0" fontId="4" fillId="0" borderId="0" xfId="7" applyFont="1" applyFill="1" applyAlignment="1">
      <alignment horizontal="center" wrapText="1"/>
    </xf>
    <xf numFmtId="0" fontId="2" fillId="0" borderId="2" xfId="7" applyFont="1" applyFill="1" applyBorder="1" applyAlignment="1"/>
    <xf numFmtId="0" fontId="16" fillId="0" borderId="9" xfId="7" applyFont="1" applyFill="1" applyBorder="1" applyAlignment="1"/>
    <xf numFmtId="0" fontId="16" fillId="0" borderId="3" xfId="7" applyFont="1" applyFill="1" applyBorder="1" applyAlignment="1"/>
    <xf numFmtId="0" fontId="1" fillId="0" borderId="2" xfId="7" applyFont="1" applyFill="1" applyBorder="1" applyAlignment="1">
      <alignment horizontal="center" vertical="center"/>
    </xf>
    <xf numFmtId="0" fontId="1" fillId="0" borderId="9" xfId="7" applyFont="1" applyFill="1" applyBorder="1" applyAlignment="1">
      <alignment horizontal="center" vertical="center"/>
    </xf>
    <xf numFmtId="0" fontId="1" fillId="0" borderId="3" xfId="7" applyFont="1" applyFill="1" applyBorder="1" applyAlignment="1">
      <alignment horizontal="center" vertical="center"/>
    </xf>
    <xf numFmtId="0" fontId="1" fillId="0" borderId="5" xfId="7" applyFont="1" applyFill="1" applyBorder="1" applyAlignment="1">
      <alignment horizontal="center" vertical="center"/>
    </xf>
    <xf numFmtId="0" fontId="1" fillId="0" borderId="13" xfId="7" applyFont="1" applyFill="1" applyBorder="1" applyAlignment="1">
      <alignment horizontal="center" vertical="center"/>
    </xf>
    <xf numFmtId="0" fontId="1" fillId="0" borderId="6" xfId="7" applyFont="1" applyFill="1" applyBorder="1" applyAlignment="1">
      <alignment horizontal="center" vertical="center"/>
    </xf>
    <xf numFmtId="0" fontId="1" fillId="0" borderId="7" xfId="7" applyFont="1" applyFill="1" applyBorder="1" applyAlignment="1">
      <alignment horizontal="center" vertical="center"/>
    </xf>
    <xf numFmtId="0" fontId="1" fillId="0" borderId="8" xfId="7" applyFont="1" applyFill="1" applyBorder="1" applyAlignment="1">
      <alignment horizontal="center" vertical="center"/>
    </xf>
    <xf numFmtId="0" fontId="1" fillId="0" borderId="14" xfId="7" applyFont="1" applyFill="1" applyBorder="1" applyAlignment="1">
      <alignment horizontal="center" vertical="center"/>
    </xf>
    <xf numFmtId="0" fontId="1" fillId="0" borderId="4" xfId="7" applyFont="1" applyFill="1" applyBorder="1" applyAlignment="1">
      <alignment horizontal="center" vertical="center"/>
    </xf>
    <xf numFmtId="0" fontId="1" fillId="0" borderId="10" xfId="7" applyFont="1" applyFill="1" applyBorder="1" applyAlignment="1">
      <alignment horizontal="center" vertical="center"/>
    </xf>
    <xf numFmtId="1" fontId="1" fillId="0" borderId="1" xfId="7" applyNumberFormat="1" applyFont="1" applyFill="1" applyBorder="1" applyAlignment="1">
      <alignment horizontal="center" vertical="center" wrapText="1"/>
    </xf>
    <xf numFmtId="0" fontId="1" fillId="2" borderId="1" xfId="3" applyFont="1" applyFill="1" applyBorder="1" applyAlignment="1">
      <alignment horizontal="center" vertical="justify"/>
    </xf>
    <xf numFmtId="0" fontId="1" fillId="2" borderId="2" xfId="3" applyFont="1" applyFill="1" applyBorder="1" applyAlignment="1">
      <alignment horizontal="center" vertical="justify" wrapText="1"/>
    </xf>
    <xf numFmtId="0" fontId="1" fillId="2" borderId="2" xfId="0" applyFont="1" applyFill="1" applyBorder="1" applyAlignment="1">
      <alignment horizontal="center" vertical="justify" wrapText="1"/>
    </xf>
    <xf numFmtId="0" fontId="1" fillId="2" borderId="0" xfId="3" applyFont="1" applyFill="1" applyAlignment="1">
      <alignment wrapText="1"/>
    </xf>
    <xf numFmtId="0" fontId="16" fillId="2" borderId="0" xfId="0" applyFont="1" applyFill="1" applyAlignment="1">
      <alignment wrapText="1"/>
    </xf>
    <xf numFmtId="0" fontId="1" fillId="2" borderId="1" xfId="3" applyFont="1" applyFill="1" applyBorder="1" applyAlignment="1">
      <alignment horizontal="center" vertical="center" wrapText="1"/>
    </xf>
    <xf numFmtId="0" fontId="1" fillId="2" borderId="1" xfId="3" applyFont="1" applyFill="1" applyBorder="1" applyAlignment="1">
      <alignment horizontal="center" wrapText="1"/>
    </xf>
    <xf numFmtId="0" fontId="1" fillId="2" borderId="5" xfId="3" applyFont="1" applyFill="1" applyBorder="1" applyAlignment="1">
      <alignment horizontal="center" vertical="top" wrapText="1"/>
    </xf>
    <xf numFmtId="0" fontId="0" fillId="2" borderId="12" xfId="0" applyFill="1" applyBorder="1" applyAlignment="1">
      <alignment horizontal="center" vertical="top" wrapText="1"/>
    </xf>
    <xf numFmtId="0" fontId="0" fillId="2" borderId="13" xfId="0" applyFill="1" applyBorder="1" applyAlignment="1">
      <alignment horizontal="center" vertical="top" wrapText="1"/>
    </xf>
    <xf numFmtId="0" fontId="1" fillId="2" borderId="6" xfId="3" applyFont="1" applyFill="1" applyBorder="1" applyAlignment="1">
      <alignment horizontal="justify" vertical="top" wrapText="1"/>
    </xf>
    <xf numFmtId="0" fontId="0" fillId="2" borderId="8" xfId="0" applyFill="1" applyBorder="1" applyAlignment="1">
      <alignment horizontal="justify" vertical="top" wrapText="1"/>
    </xf>
    <xf numFmtId="0" fontId="2" fillId="2" borderId="0" xfId="3" applyFont="1" applyFill="1" applyAlignment="1">
      <alignment horizontal="center"/>
    </xf>
    <xf numFmtId="0" fontId="15" fillId="2" borderId="0" xfId="0" applyFont="1" applyFill="1" applyAlignment="1">
      <alignment horizontal="center"/>
    </xf>
    <xf numFmtId="0" fontId="1" fillId="2" borderId="0" xfId="3" applyFont="1" applyFill="1" applyAlignment="1">
      <alignment horizontal="left" wrapText="1"/>
    </xf>
    <xf numFmtId="0" fontId="16" fillId="2" borderId="0" xfId="0" applyFont="1" applyFill="1" applyAlignment="1">
      <alignment horizontal="left" wrapText="1"/>
    </xf>
    <xf numFmtId="0" fontId="1" fillId="2" borderId="2" xfId="3" applyFont="1" applyFill="1" applyBorder="1" applyAlignment="1">
      <alignment horizontal="center" vertical="center" wrapText="1"/>
    </xf>
    <xf numFmtId="0" fontId="0" fillId="2" borderId="3" xfId="0" applyFill="1" applyBorder="1" applyAlignment="1">
      <alignment horizontal="center" vertical="center" wrapText="1"/>
    </xf>
    <xf numFmtId="0" fontId="1" fillId="2" borderId="15" xfId="3" applyFont="1" applyFill="1" applyBorder="1" applyAlignment="1">
      <alignment horizontal="left" vertical="center" wrapText="1"/>
    </xf>
    <xf numFmtId="0" fontId="0" fillId="2" borderId="11" xfId="0" applyFill="1" applyBorder="1" applyAlignment="1">
      <alignment vertical="center" wrapText="1"/>
    </xf>
    <xf numFmtId="0" fontId="3" fillId="0" borderId="2" xfId="0" applyFont="1" applyBorder="1" applyAlignment="1">
      <alignment horizontal="center"/>
    </xf>
    <xf numFmtId="0" fontId="3" fillId="0" borderId="3" xfId="0" applyFont="1" applyBorder="1" applyAlignment="1">
      <alignment horizontal="center"/>
    </xf>
    <xf numFmtId="0" fontId="4" fillId="0" borderId="0" xfId="0" applyFont="1" applyAlignment="1">
      <alignment horizontal="center"/>
    </xf>
    <xf numFmtId="0" fontId="22" fillId="0" borderId="0" xfId="0" applyFont="1" applyAlignment="1"/>
    <xf numFmtId="0" fontId="3" fillId="0" borderId="0" xfId="0" applyFont="1" applyAlignment="1">
      <alignment horizontal="left" wrapText="1"/>
    </xf>
    <xf numFmtId="0" fontId="22" fillId="0" borderId="0" xfId="0" applyFont="1" applyAlignment="1">
      <alignment wrapText="1"/>
    </xf>
    <xf numFmtId="0" fontId="3" fillId="0" borderId="2" xfId="0" applyFont="1" applyBorder="1" applyAlignment="1">
      <alignment horizontal="center" vertical="center" wrapText="1"/>
    </xf>
    <xf numFmtId="0" fontId="3" fillId="0" borderId="9" xfId="0" applyFont="1" applyBorder="1" applyAlignment="1">
      <alignment horizontal="center" vertical="center" wrapText="1"/>
    </xf>
    <xf numFmtId="0" fontId="3" fillId="0" borderId="3"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6" xfId="0" applyFont="1" applyBorder="1" applyAlignment="1">
      <alignment horizontal="center" vertical="center" wrapText="1"/>
    </xf>
    <xf numFmtId="0" fontId="3" fillId="0" borderId="8" xfId="0" applyFont="1" applyBorder="1" applyAlignment="1">
      <alignment vertical="center"/>
    </xf>
    <xf numFmtId="0" fontId="3" fillId="0" borderId="14" xfId="0" applyFont="1" applyBorder="1" applyAlignment="1">
      <alignment vertical="center"/>
    </xf>
    <xf numFmtId="0" fontId="3" fillId="0" borderId="10" xfId="0" applyFont="1" applyBorder="1" applyAlignment="1">
      <alignment vertical="center"/>
    </xf>
    <xf numFmtId="0" fontId="3" fillId="0" borderId="1" xfId="0" applyFont="1" applyBorder="1" applyAlignment="1">
      <alignment horizontal="center" vertical="center" wrapText="1"/>
    </xf>
    <xf numFmtId="0" fontId="3" fillId="0" borderId="1" xfId="0" applyFont="1" applyBorder="1" applyAlignment="1">
      <alignment horizontal="center"/>
    </xf>
    <xf numFmtId="0" fontId="3" fillId="0" borderId="2" xfId="0" applyFont="1" applyBorder="1" applyAlignment="1">
      <alignment horizontal="center" wrapText="1"/>
    </xf>
    <xf numFmtId="0" fontId="22" fillId="0" borderId="9" xfId="0" applyFont="1" applyBorder="1" applyAlignment="1">
      <alignment horizontal="center" wrapText="1"/>
    </xf>
    <xf numFmtId="0" fontId="22" fillId="0" borderId="3" xfId="0" applyFont="1" applyBorder="1" applyAlignment="1">
      <alignment horizontal="center" wrapText="1"/>
    </xf>
    <xf numFmtId="0" fontId="0" fillId="0" borderId="7" xfId="0" applyBorder="1" applyAlignment="1">
      <alignment horizontal="center" vertical="center"/>
    </xf>
    <xf numFmtId="0" fontId="0" fillId="0" borderId="14" xfId="0" applyBorder="1" applyAlignment="1">
      <alignment horizontal="center" vertical="center"/>
    </xf>
    <xf numFmtId="0" fontId="0" fillId="0" borderId="4" xfId="0" applyBorder="1" applyAlignment="1">
      <alignment horizontal="center" vertical="center"/>
    </xf>
    <xf numFmtId="0" fontId="29" fillId="0" borderId="1" xfId="0" applyFont="1" applyBorder="1" applyAlignment="1">
      <alignment horizont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3" fillId="2" borderId="1" xfId="0" applyFont="1" applyFill="1" applyBorder="1" applyAlignment="1">
      <alignment horizontal="left" wrapText="1"/>
    </xf>
    <xf numFmtId="0" fontId="0" fillId="2" borderId="1" xfId="0" applyFill="1" applyBorder="1" applyAlignment="1">
      <alignment horizontal="left"/>
    </xf>
    <xf numFmtId="0" fontId="1" fillId="0" borderId="5" xfId="3" applyFont="1" applyBorder="1" applyAlignment="1">
      <alignment horizontal="center" vertical="justify"/>
    </xf>
    <xf numFmtId="0" fontId="1" fillId="0" borderId="12" xfId="3" applyFont="1" applyBorder="1" applyAlignment="1">
      <alignment horizontal="center" vertical="justify"/>
    </xf>
    <xf numFmtId="0" fontId="1" fillId="0" borderId="13" xfId="3" applyFont="1" applyBorder="1" applyAlignment="1">
      <alignment horizontal="center" vertical="justify"/>
    </xf>
    <xf numFmtId="0" fontId="2" fillId="0" borderId="0" xfId="3" applyFont="1" applyAlignment="1">
      <alignment horizontal="center" wrapText="1"/>
    </xf>
    <xf numFmtId="0" fontId="15" fillId="0" borderId="0" xfId="0" applyFont="1" applyAlignment="1">
      <alignment horizontal="center" wrapText="1"/>
    </xf>
    <xf numFmtId="0" fontId="15" fillId="0" borderId="0" xfId="0" applyFont="1" applyAlignment="1">
      <alignment wrapText="1"/>
    </xf>
    <xf numFmtId="0" fontId="1" fillId="0" borderId="0" xfId="3" applyFont="1" applyAlignment="1">
      <alignment horizontal="left" wrapText="1"/>
    </xf>
    <xf numFmtId="0" fontId="16" fillId="0" borderId="0" xfId="0" applyFont="1" applyAlignment="1">
      <alignment horizontal="left" wrapText="1"/>
    </xf>
    <xf numFmtId="0" fontId="1" fillId="0" borderId="2" xfId="3" applyFont="1" applyBorder="1" applyAlignment="1">
      <alignment horizontal="center" vertical="justify" wrapText="1"/>
    </xf>
    <xf numFmtId="0" fontId="1" fillId="0" borderId="2" xfId="0" applyFont="1" applyBorder="1" applyAlignment="1">
      <alignment horizontal="center" vertical="justify" wrapText="1"/>
    </xf>
    <xf numFmtId="0" fontId="1" fillId="0" borderId="0" xfId="3" applyFont="1" applyAlignment="1">
      <alignment wrapText="1"/>
    </xf>
    <xf numFmtId="0" fontId="16" fillId="0" borderId="0" xfId="0" applyFont="1" applyAlignment="1">
      <alignment wrapText="1"/>
    </xf>
    <xf numFmtId="0" fontId="1" fillId="0" borderId="5" xfId="3" applyFont="1" applyBorder="1" applyAlignment="1">
      <alignment horizontal="center" vertical="center" wrapText="1"/>
    </xf>
    <xf numFmtId="0" fontId="1" fillId="0" borderId="13" xfId="3" applyFont="1" applyBorder="1" applyAlignment="1">
      <alignment horizontal="center" vertical="center" wrapText="1"/>
    </xf>
    <xf numFmtId="0" fontId="1" fillId="0" borderId="1" xfId="3" applyFont="1" applyBorder="1" applyAlignment="1">
      <alignment horizontal="center" vertical="center" wrapText="1"/>
    </xf>
    <xf numFmtId="0" fontId="1" fillId="0" borderId="1" xfId="3" applyFont="1" applyBorder="1" applyAlignment="1">
      <alignment horizontal="center" wrapText="1"/>
    </xf>
    <xf numFmtId="0" fontId="29" fillId="0" borderId="1" xfId="0" applyFont="1" applyBorder="1" applyAlignment="1">
      <alignment horizontal="center"/>
    </xf>
    <xf numFmtId="0" fontId="22" fillId="0" borderId="9" xfId="0" applyFont="1" applyBorder="1" applyAlignment="1">
      <alignment horizontal="center" vertical="center" wrapText="1"/>
    </xf>
    <xf numFmtId="0" fontId="22" fillId="0" borderId="3" xfId="0" applyFont="1" applyBorder="1" applyAlignment="1">
      <alignment horizontal="center" vertical="center" wrapText="1"/>
    </xf>
    <xf numFmtId="49" fontId="1" fillId="2" borderId="1" xfId="11" applyNumberFormat="1" applyFont="1" applyFill="1" applyBorder="1" applyAlignment="1">
      <alignment vertical="center" wrapText="1"/>
    </xf>
    <xf numFmtId="0" fontId="38" fillId="2" borderId="0" xfId="0" applyFont="1" applyFill="1" applyAlignment="1">
      <alignment wrapText="1"/>
    </xf>
  </cellXfs>
  <cellStyles count="21">
    <cellStyle name="Excel Built-in Normal" xfId="5"/>
    <cellStyle name="Excel Built-in Normal 1" xfId="11"/>
    <cellStyle name="Excel Built-in Normal 2" xfId="14"/>
    <cellStyle name="Excel Built-in Normal 3" xfId="16"/>
    <cellStyle name="Обычный" xfId="0" builtinId="0"/>
    <cellStyle name="Обычный 2" xfId="7"/>
    <cellStyle name="Обычный 2 2" xfId="8"/>
    <cellStyle name="Обычный 2 2 2" xfId="4"/>
    <cellStyle name="Обычный 2 2 3" xfId="18"/>
    <cellStyle name="Обычный 3" xfId="15"/>
    <cellStyle name="Обычный 3 2" xfId="17"/>
    <cellStyle name="Обычный_ведомственная  и прилож. на 2008 год без краевых-2" xfId="9"/>
    <cellStyle name="Обычный_ведомственная  и прилож. на 2008 год без краевых-2 2" xfId="12"/>
    <cellStyle name="Обычный_ведомственная  и прилож. на 2008 год без краевых-2 2 2" xfId="6"/>
    <cellStyle name="Обычный_Приложение № 2 к проекту бюджета" xfId="1"/>
    <cellStyle name="Обычный_Расчет дотаций поселениям на 2010 год МО Апшеронский район к.542" xfId="20"/>
    <cellStyle name="Обычный_расчеты к бю.джету1" xfId="2"/>
    <cellStyle name="Обычный_Функциональная структура расходов бюджета на 2005 год" xfId="3"/>
    <cellStyle name="Финансовый" xfId="19" builtinId="3"/>
    <cellStyle name="Финансовый [0]" xfId="13" builtinId="6"/>
    <cellStyle name="Финансовый 2" xfId="10"/>
  </cellStyles>
  <dxfs count="0"/>
  <tableStyles count="0" defaultTableStyle="TableStyleMedium2" defaultPivotStyle="PivotStyleMedium9"/>
  <colors>
    <mruColors>
      <color rgb="FFF6FED8"/>
      <color rgb="FFFFFFCC"/>
      <color rgb="FFFFFF99"/>
      <color rgb="FFFFCCCC"/>
      <color rgb="FFCCECFF"/>
      <color rgb="FFDB8DBF"/>
      <color rgb="FFB00000"/>
      <color rgb="FF95C4D3"/>
      <color rgb="FF540000"/>
      <color rgb="FF74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pageSetUpPr fitToPage="1"/>
  </sheetPr>
  <dimension ref="A1:J138"/>
  <sheetViews>
    <sheetView tabSelected="1" zoomScale="80" zoomScaleNormal="80" zoomScaleSheetLayoutView="50" workbookViewId="0">
      <selection activeCell="A3" sqref="A3"/>
    </sheetView>
  </sheetViews>
  <sheetFormatPr defaultColWidth="9.109375" defaultRowHeight="18" x14ac:dyDescent="0.35"/>
  <cols>
    <col min="1" max="1" width="29.5546875" style="242" customWidth="1"/>
    <col min="2" max="2" width="60.109375" style="316" customWidth="1"/>
    <col min="3" max="3" width="15.33203125" style="240" customWidth="1"/>
    <col min="4" max="4" width="16.6640625" style="242" customWidth="1"/>
    <col min="5" max="5" width="15.6640625" style="242" customWidth="1"/>
    <col min="6" max="6" width="9.109375" style="242"/>
    <col min="7" max="11" width="0" style="242" hidden="1" customWidth="1"/>
    <col min="12" max="16384" width="9.109375" style="242"/>
  </cols>
  <sheetData>
    <row r="1" spans="1:5" s="254" customFormat="1" x14ac:dyDescent="0.35">
      <c r="A1" s="80"/>
      <c r="B1" s="80"/>
      <c r="E1" s="205" t="s">
        <v>523</v>
      </c>
    </row>
    <row r="2" spans="1:5" s="254" customFormat="1" x14ac:dyDescent="0.35">
      <c r="A2" s="80"/>
      <c r="B2" s="80"/>
      <c r="E2" s="205" t="s">
        <v>695</v>
      </c>
    </row>
    <row r="3" spans="1:5" s="254" customFormat="1" ht="39.6" customHeight="1" x14ac:dyDescent="0.35">
      <c r="A3" s="79" t="s">
        <v>763</v>
      </c>
      <c r="B3" s="80"/>
      <c r="E3" s="205"/>
    </row>
    <row r="5" spans="1:5" ht="11.25" customHeight="1" x14ac:dyDescent="0.35"/>
    <row r="6" spans="1:5" ht="36.75" customHeight="1" x14ac:dyDescent="0.35">
      <c r="A6" s="805" t="s">
        <v>620</v>
      </c>
      <c r="B6" s="805"/>
      <c r="C6" s="805"/>
      <c r="D6" s="805"/>
      <c r="E6" s="805"/>
    </row>
    <row r="8" spans="1:5" x14ac:dyDescent="0.35">
      <c r="E8" s="234" t="s">
        <v>21</v>
      </c>
    </row>
    <row r="9" spans="1:5" ht="20.399999999999999" customHeight="1" x14ac:dyDescent="0.35">
      <c r="A9" s="807" t="s">
        <v>13</v>
      </c>
      <c r="B9" s="809" t="s">
        <v>14</v>
      </c>
      <c r="C9" s="802" t="s">
        <v>15</v>
      </c>
      <c r="D9" s="803"/>
      <c r="E9" s="804"/>
    </row>
    <row r="10" spans="1:5" ht="20.399999999999999" customHeight="1" x14ac:dyDescent="0.35">
      <c r="A10" s="808"/>
      <c r="B10" s="810"/>
      <c r="C10" s="235" t="s">
        <v>514</v>
      </c>
      <c r="D10" s="235" t="s">
        <v>578</v>
      </c>
      <c r="E10" s="235" t="s">
        <v>621</v>
      </c>
    </row>
    <row r="11" spans="1:5" x14ac:dyDescent="0.35">
      <c r="A11" s="342">
        <v>1</v>
      </c>
      <c r="B11" s="343">
        <v>2</v>
      </c>
      <c r="C11" s="236">
        <v>3</v>
      </c>
      <c r="D11" s="352">
        <v>4</v>
      </c>
      <c r="E11" s="352">
        <v>5</v>
      </c>
    </row>
    <row r="12" spans="1:5" x14ac:dyDescent="0.35">
      <c r="A12" s="117" t="s">
        <v>133</v>
      </c>
      <c r="B12" s="118" t="s">
        <v>134</v>
      </c>
      <c r="C12" s="375">
        <f>C13+C14+C15+C16+C17+C18+C19+C20+C21+C22+C28+C29+C30+C31</f>
        <v>710750.8</v>
      </c>
      <c r="D12" s="375">
        <f>D13+D14+D15+D16+D17+D18+D19+D20+D21+D22+D28+D29+D30+D31</f>
        <v>732292.8</v>
      </c>
      <c r="E12" s="375">
        <f>E13+E14+E15+E16+E17+E18+E19+E20+E21+E22+E28+E29+E30+E31</f>
        <v>738943.39999999991</v>
      </c>
    </row>
    <row r="13" spans="1:5" x14ac:dyDescent="0.35">
      <c r="A13" s="83" t="s">
        <v>135</v>
      </c>
      <c r="B13" s="108" t="s">
        <v>136</v>
      </c>
      <c r="C13" s="376">
        <v>6763</v>
      </c>
      <c r="D13" s="377">
        <v>7238</v>
      </c>
      <c r="E13" s="378">
        <v>7764</v>
      </c>
    </row>
    <row r="14" spans="1:5" x14ac:dyDescent="0.35">
      <c r="A14" s="95" t="s">
        <v>137</v>
      </c>
      <c r="B14" s="119" t="s">
        <v>138</v>
      </c>
      <c r="C14" s="376">
        <v>406654.5</v>
      </c>
      <c r="D14" s="377">
        <v>420756.9</v>
      </c>
      <c r="E14" s="378">
        <v>407648.8</v>
      </c>
    </row>
    <row r="15" spans="1:5" ht="163.19999999999999" customHeight="1" x14ac:dyDescent="0.35">
      <c r="A15" s="81" t="s">
        <v>139</v>
      </c>
      <c r="B15" s="120" t="s">
        <v>494</v>
      </c>
      <c r="C15" s="379">
        <v>6844.9</v>
      </c>
      <c r="D15" s="380">
        <v>7183.4</v>
      </c>
      <c r="E15" s="243">
        <v>7472.6</v>
      </c>
    </row>
    <row r="16" spans="1:5" ht="36" x14ac:dyDescent="0.35">
      <c r="A16" s="83" t="s">
        <v>323</v>
      </c>
      <c r="B16" s="109" t="s">
        <v>324</v>
      </c>
      <c r="C16" s="379">
        <f>177309+8000</f>
        <v>185309</v>
      </c>
      <c r="D16" s="380">
        <v>189257</v>
      </c>
      <c r="E16" s="243">
        <v>202299</v>
      </c>
    </row>
    <row r="17" spans="1:5" ht="36" x14ac:dyDescent="0.35">
      <c r="A17" s="83" t="s">
        <v>140</v>
      </c>
      <c r="B17" s="109" t="s">
        <v>348</v>
      </c>
      <c r="C17" s="379">
        <v>80</v>
      </c>
      <c r="D17" s="380">
        <v>70</v>
      </c>
      <c r="E17" s="243">
        <v>60</v>
      </c>
    </row>
    <row r="18" spans="1:5" x14ac:dyDescent="0.35">
      <c r="A18" s="83" t="s">
        <v>141</v>
      </c>
      <c r="B18" s="119" t="s">
        <v>142</v>
      </c>
      <c r="C18" s="379">
        <v>217</v>
      </c>
      <c r="D18" s="380">
        <v>232</v>
      </c>
      <c r="E18" s="243">
        <v>249</v>
      </c>
    </row>
    <row r="19" spans="1:5" ht="36" x14ac:dyDescent="0.35">
      <c r="A19" s="83" t="s">
        <v>143</v>
      </c>
      <c r="B19" s="109" t="s">
        <v>144</v>
      </c>
      <c r="C19" s="379">
        <v>26241</v>
      </c>
      <c r="D19" s="380">
        <v>28082</v>
      </c>
      <c r="E19" s="243">
        <v>30124</v>
      </c>
    </row>
    <row r="20" spans="1:5" x14ac:dyDescent="0.35">
      <c r="A20" s="83" t="s">
        <v>445</v>
      </c>
      <c r="B20" s="109" t="s">
        <v>446</v>
      </c>
      <c r="C20" s="379">
        <v>3913.8</v>
      </c>
      <c r="D20" s="380">
        <v>3917.7</v>
      </c>
      <c r="E20" s="243">
        <v>3921.7</v>
      </c>
    </row>
    <row r="21" spans="1:5" x14ac:dyDescent="0.35">
      <c r="A21" s="83" t="s">
        <v>145</v>
      </c>
      <c r="B21" s="119" t="s">
        <v>146</v>
      </c>
      <c r="C21" s="379">
        <v>11681</v>
      </c>
      <c r="D21" s="380">
        <v>12498</v>
      </c>
      <c r="E21" s="243">
        <v>13371</v>
      </c>
    </row>
    <row r="22" spans="1:5" ht="54.75" customHeight="1" x14ac:dyDescent="0.35">
      <c r="A22" s="83" t="s">
        <v>506</v>
      </c>
      <c r="B22" s="109" t="s">
        <v>507</v>
      </c>
      <c r="C22" s="379">
        <f>SUM(C23:C27)</f>
        <v>42311.3</v>
      </c>
      <c r="D22" s="379">
        <f t="shared" ref="D22:E22" si="0">SUM(D23:D27)</f>
        <v>45258.000000000007</v>
      </c>
      <c r="E22" s="379">
        <f t="shared" si="0"/>
        <v>47603.000000000007</v>
      </c>
    </row>
    <row r="23" spans="1:5" ht="78" customHeight="1" x14ac:dyDescent="0.35">
      <c r="A23" s="83" t="s">
        <v>147</v>
      </c>
      <c r="B23" s="108" t="s">
        <v>508</v>
      </c>
      <c r="C23" s="379">
        <f>465+285</f>
        <v>750</v>
      </c>
      <c r="D23" s="379">
        <f t="shared" ref="D23:E23" si="1">465+285</f>
        <v>750</v>
      </c>
      <c r="E23" s="379">
        <f t="shared" si="1"/>
        <v>750</v>
      </c>
    </row>
    <row r="24" spans="1:5" ht="54" x14ac:dyDescent="0.35">
      <c r="A24" s="83" t="s">
        <v>687</v>
      </c>
      <c r="B24" s="108" t="s">
        <v>688</v>
      </c>
      <c r="C24" s="379">
        <v>31.1</v>
      </c>
      <c r="D24" s="379">
        <v>0</v>
      </c>
      <c r="E24" s="379">
        <v>0</v>
      </c>
    </row>
    <row r="25" spans="1:5" ht="90" x14ac:dyDescent="0.35">
      <c r="A25" s="83" t="s">
        <v>148</v>
      </c>
      <c r="B25" s="109" t="s">
        <v>509</v>
      </c>
      <c r="C25" s="379">
        <v>40672</v>
      </c>
      <c r="D25" s="380">
        <v>43649.8</v>
      </c>
      <c r="E25" s="243">
        <v>45994.8</v>
      </c>
    </row>
    <row r="26" spans="1:5" ht="59.4" customHeight="1" x14ac:dyDescent="0.35">
      <c r="A26" s="83" t="s">
        <v>322</v>
      </c>
      <c r="B26" s="109" t="s">
        <v>510</v>
      </c>
      <c r="C26" s="379">
        <v>591.4</v>
      </c>
      <c r="D26" s="380">
        <v>591.4</v>
      </c>
      <c r="E26" s="243">
        <v>591.4</v>
      </c>
    </row>
    <row r="27" spans="1:5" ht="108" x14ac:dyDescent="0.35">
      <c r="A27" s="83" t="s">
        <v>367</v>
      </c>
      <c r="B27" s="109" t="s">
        <v>511</v>
      </c>
      <c r="C27" s="379">
        <v>266.8</v>
      </c>
      <c r="D27" s="379">
        <v>266.8</v>
      </c>
      <c r="E27" s="379">
        <v>266.8</v>
      </c>
    </row>
    <row r="28" spans="1:5" ht="36" x14ac:dyDescent="0.35">
      <c r="A28" s="83" t="s">
        <v>149</v>
      </c>
      <c r="B28" s="109" t="s">
        <v>150</v>
      </c>
      <c r="C28" s="379">
        <v>75.900000000000006</v>
      </c>
      <c r="D28" s="380">
        <v>78.900000000000006</v>
      </c>
      <c r="E28" s="243">
        <v>82.1</v>
      </c>
    </row>
    <row r="29" spans="1:5" ht="36" x14ac:dyDescent="0.35">
      <c r="A29" s="83" t="s">
        <v>408</v>
      </c>
      <c r="B29" s="256" t="s">
        <v>426</v>
      </c>
      <c r="C29" s="379">
        <f>3255.3+47.9</f>
        <v>3303.2000000000003</v>
      </c>
      <c r="D29" s="380">
        <v>1583</v>
      </c>
      <c r="E29" s="243">
        <v>1583</v>
      </c>
    </row>
    <row r="30" spans="1:5" ht="36" x14ac:dyDescent="0.35">
      <c r="A30" s="83" t="s">
        <v>151</v>
      </c>
      <c r="B30" s="109" t="s">
        <v>152</v>
      </c>
      <c r="C30" s="379">
        <v>10755.7</v>
      </c>
      <c r="D30" s="380">
        <v>11047</v>
      </c>
      <c r="E30" s="243">
        <v>11378.3</v>
      </c>
    </row>
    <row r="31" spans="1:5" x14ac:dyDescent="0.35">
      <c r="A31" s="81" t="s">
        <v>153</v>
      </c>
      <c r="B31" s="109" t="s">
        <v>154</v>
      </c>
      <c r="C31" s="379">
        <f>4631.6+2000-31.1</f>
        <v>6600.5</v>
      </c>
      <c r="D31" s="380">
        <v>5090.8999999999996</v>
      </c>
      <c r="E31" s="243">
        <v>5386.9</v>
      </c>
    </row>
    <row r="32" spans="1:5" x14ac:dyDescent="0.35">
      <c r="A32" s="135" t="s">
        <v>16</v>
      </c>
      <c r="B32" s="278" t="s">
        <v>325</v>
      </c>
      <c r="C32" s="237">
        <f>C33+C39+C38-C43-C42-C41-C40</f>
        <v>1624422.3650899997</v>
      </c>
      <c r="D32" s="237">
        <f>D33</f>
        <v>1347267.5999999996</v>
      </c>
      <c r="E32" s="237">
        <f t="shared" ref="E32" si="2">E33</f>
        <v>1409471.5999999996</v>
      </c>
    </row>
    <row r="33" spans="1:10" ht="36.75" customHeight="1" x14ac:dyDescent="0.35">
      <c r="A33" s="129" t="s">
        <v>17</v>
      </c>
      <c r="B33" s="279" t="s">
        <v>18</v>
      </c>
      <c r="C33" s="378">
        <f>C34+C35+C36+C37</f>
        <v>1630880.0999999996</v>
      </c>
      <c r="D33" s="378">
        <f>D34+D35+D36+D37</f>
        <v>1347267.5999999996</v>
      </c>
      <c r="E33" s="378">
        <f>E34+E35+E36+E37</f>
        <v>1409471.5999999996</v>
      </c>
    </row>
    <row r="34" spans="1:10" s="281" customFormat="1" ht="36" x14ac:dyDescent="0.35">
      <c r="A34" s="129" t="s">
        <v>418</v>
      </c>
      <c r="B34" s="280" t="s">
        <v>363</v>
      </c>
      <c r="C34" s="378">
        <f>'прил.2(пост.безв.24)'!C13</f>
        <v>278356.3</v>
      </c>
      <c r="D34" s="378">
        <f>'прил.3 (пост.безв.25-26)'!C13</f>
        <v>201131.1</v>
      </c>
      <c r="E34" s="378">
        <f>'прил.3 (пост.безв.25-26)'!D13</f>
        <v>219959.6</v>
      </c>
    </row>
    <row r="35" spans="1:10" s="281" customFormat="1" ht="39" customHeight="1" x14ac:dyDescent="0.35">
      <c r="A35" s="56" t="s">
        <v>420</v>
      </c>
      <c r="B35" s="257" t="s">
        <v>320</v>
      </c>
      <c r="C35" s="378">
        <f>'прил.2(пост.безв.24)'!C18</f>
        <v>283407.59999999998</v>
      </c>
      <c r="D35" s="378">
        <f>'прил.3 (пост.безв.25-26)'!C16</f>
        <v>76858.100000000006</v>
      </c>
      <c r="E35" s="378">
        <f>'прил.3 (пост.безв.25-26)'!D16</f>
        <v>76267.8</v>
      </c>
    </row>
    <row r="36" spans="1:10" ht="36" x14ac:dyDescent="0.35">
      <c r="A36" s="317" t="s">
        <v>422</v>
      </c>
      <c r="B36" s="280" t="s">
        <v>362</v>
      </c>
      <c r="C36" s="378">
        <f>'прил.2(пост.безв.24)'!C40</f>
        <v>1057631.9999999998</v>
      </c>
      <c r="D36" s="378">
        <f>'прил.3 (пост.безв.25-26)'!C28</f>
        <v>1069278.3999999997</v>
      </c>
      <c r="E36" s="378">
        <f>'прил.3 (пост.безв.25-26)'!D28</f>
        <v>1113244.1999999997</v>
      </c>
    </row>
    <row r="37" spans="1:10" x14ac:dyDescent="0.35">
      <c r="A37" s="129" t="s">
        <v>428</v>
      </c>
      <c r="B37" s="279" t="s">
        <v>155</v>
      </c>
      <c r="C37" s="238">
        <f>'прил.2(пост.безв.24)'!C70</f>
        <v>11484.2</v>
      </c>
      <c r="D37" s="238">
        <v>0</v>
      </c>
      <c r="E37" s="238">
        <v>0</v>
      </c>
    </row>
    <row r="38" spans="1:10" ht="54" x14ac:dyDescent="0.35">
      <c r="A38" s="129" t="s">
        <v>705</v>
      </c>
      <c r="B38" s="279" t="s">
        <v>706</v>
      </c>
      <c r="C38" s="378">
        <v>161.82245</v>
      </c>
      <c r="D38" s="238">
        <v>0</v>
      </c>
      <c r="E38" s="238">
        <v>0</v>
      </c>
    </row>
    <row r="39" spans="1:10" ht="90" x14ac:dyDescent="0.35">
      <c r="A39" s="434" t="s">
        <v>698</v>
      </c>
      <c r="B39" s="761" t="s">
        <v>699</v>
      </c>
      <c r="C39" s="238">
        <v>118.10905</v>
      </c>
      <c r="D39" s="238">
        <v>0</v>
      </c>
      <c r="E39" s="238">
        <v>0</v>
      </c>
    </row>
    <row r="40" spans="1:10" ht="108" x14ac:dyDescent="0.35">
      <c r="A40" s="434" t="s">
        <v>708</v>
      </c>
      <c r="B40" s="777" t="s">
        <v>707</v>
      </c>
      <c r="C40" s="238">
        <v>3158.1342399999999</v>
      </c>
      <c r="D40" s="238">
        <v>0</v>
      </c>
      <c r="E40" s="238">
        <v>0</v>
      </c>
    </row>
    <row r="41" spans="1:10" ht="54" x14ac:dyDescent="0.35">
      <c r="A41" s="434" t="s">
        <v>710</v>
      </c>
      <c r="B41" s="761" t="s">
        <v>709</v>
      </c>
      <c r="C41" s="238">
        <v>235.51748000000001</v>
      </c>
      <c r="D41" s="238">
        <v>0</v>
      </c>
      <c r="E41" s="238">
        <v>0</v>
      </c>
    </row>
    <row r="42" spans="1:10" ht="162" x14ac:dyDescent="0.35">
      <c r="A42" s="434" t="s">
        <v>712</v>
      </c>
      <c r="B42" s="761" t="s">
        <v>711</v>
      </c>
      <c r="C42" s="238">
        <v>622.70707000000004</v>
      </c>
      <c r="D42" s="238">
        <v>0</v>
      </c>
      <c r="E42" s="238">
        <v>0</v>
      </c>
    </row>
    <row r="43" spans="1:10" ht="72" x14ac:dyDescent="0.35">
      <c r="A43" s="434" t="s">
        <v>700</v>
      </c>
      <c r="B43" s="279" t="s">
        <v>701</v>
      </c>
      <c r="C43" s="238">
        <f>260+2.9805+161.82245+1710.38087+0.56994+4.58881+3.16096+349.84189+224.43+0.1432+3.389</f>
        <v>2721.3076200000005</v>
      </c>
      <c r="D43" s="238">
        <v>0</v>
      </c>
      <c r="E43" s="238">
        <v>0</v>
      </c>
      <c r="G43" s="100" t="s">
        <v>702</v>
      </c>
      <c r="H43" s="242" t="s">
        <v>703</v>
      </c>
      <c r="J43" s="242" t="s">
        <v>704</v>
      </c>
    </row>
    <row r="44" spans="1:10" x14ac:dyDescent="0.35">
      <c r="A44" s="318"/>
      <c r="B44" s="278" t="s">
        <v>156</v>
      </c>
      <c r="C44" s="239">
        <f>C32+C12</f>
        <v>2335173.1650899998</v>
      </c>
      <c r="D44" s="239">
        <f>D32+D12</f>
        <v>2079560.3999999997</v>
      </c>
      <c r="E44" s="239">
        <f>E32+E12</f>
        <v>2148414.9999999995</v>
      </c>
    </row>
    <row r="45" spans="1:10" x14ac:dyDescent="0.35">
      <c r="A45" s="419" t="s">
        <v>539</v>
      </c>
      <c r="B45" s="420"/>
      <c r="C45" s="421"/>
      <c r="D45" s="421"/>
      <c r="E45" s="421"/>
    </row>
    <row r="46" spans="1:10" ht="37.5" customHeight="1" x14ac:dyDescent="0.35">
      <c r="A46" s="806" t="s">
        <v>326</v>
      </c>
      <c r="B46" s="806"/>
      <c r="C46" s="806"/>
      <c r="D46" s="806"/>
      <c r="E46" s="806"/>
    </row>
    <row r="47" spans="1:10" x14ac:dyDescent="0.35">
      <c r="A47" s="319"/>
    </row>
    <row r="48" spans="1:10" x14ac:dyDescent="0.35">
      <c r="A48" s="319"/>
    </row>
    <row r="49" spans="1:8" s="125" customFormat="1" x14ac:dyDescent="0.35">
      <c r="A49" s="545" t="s">
        <v>396</v>
      </c>
      <c r="B49" s="126"/>
      <c r="C49" s="127"/>
      <c r="D49" s="127"/>
      <c r="E49" s="127"/>
      <c r="F49" s="87"/>
      <c r="G49" s="155"/>
      <c r="H49" s="196"/>
    </row>
    <row r="50" spans="1:8" s="125" customFormat="1" x14ac:dyDescent="0.35">
      <c r="A50" s="545" t="s">
        <v>397</v>
      </c>
      <c r="B50" s="126"/>
      <c r="C50" s="127"/>
      <c r="D50" s="127"/>
      <c r="E50" s="127"/>
      <c r="F50" s="87"/>
      <c r="G50" s="155"/>
      <c r="H50" s="196"/>
    </row>
    <row r="51" spans="1:8" s="125" customFormat="1" x14ac:dyDescent="0.35">
      <c r="A51" s="735" t="s">
        <v>398</v>
      </c>
      <c r="B51" s="126"/>
      <c r="D51" s="127"/>
      <c r="E51" s="158" t="s">
        <v>409</v>
      </c>
      <c r="F51" s="87"/>
    </row>
    <row r="53" spans="1:8" x14ac:dyDescent="0.35">
      <c r="B53" s="320"/>
      <c r="C53" s="241"/>
    </row>
    <row r="54" spans="1:8" x14ac:dyDescent="0.35">
      <c r="B54" s="320"/>
      <c r="C54" s="241"/>
    </row>
    <row r="61" spans="1:8" x14ac:dyDescent="0.35">
      <c r="B61" s="242"/>
      <c r="C61" s="242"/>
    </row>
    <row r="62" spans="1:8" x14ac:dyDescent="0.35">
      <c r="B62" s="242"/>
      <c r="C62" s="242"/>
    </row>
    <row r="63" spans="1:8" x14ac:dyDescent="0.35">
      <c r="B63" s="242"/>
      <c r="C63" s="242"/>
    </row>
    <row r="64" spans="1:8" x14ac:dyDescent="0.35">
      <c r="B64" s="242"/>
      <c r="C64" s="242"/>
    </row>
    <row r="65" spans="2:3" x14ac:dyDescent="0.35">
      <c r="B65" s="242"/>
      <c r="C65" s="242"/>
    </row>
    <row r="66" spans="2:3" x14ac:dyDescent="0.35">
      <c r="B66" s="242"/>
      <c r="C66" s="242"/>
    </row>
    <row r="67" spans="2:3" x14ac:dyDescent="0.35">
      <c r="B67" s="242"/>
      <c r="C67" s="242"/>
    </row>
    <row r="68" spans="2:3" x14ac:dyDescent="0.35">
      <c r="B68" s="242"/>
      <c r="C68" s="242"/>
    </row>
    <row r="69" spans="2:3" x14ac:dyDescent="0.35">
      <c r="B69" s="242"/>
      <c r="C69" s="242"/>
    </row>
    <row r="70" spans="2:3" x14ac:dyDescent="0.35">
      <c r="B70" s="242"/>
      <c r="C70" s="242"/>
    </row>
    <row r="71" spans="2:3" x14ac:dyDescent="0.35">
      <c r="B71" s="242"/>
      <c r="C71" s="242"/>
    </row>
    <row r="72" spans="2:3" x14ac:dyDescent="0.35">
      <c r="B72" s="242"/>
      <c r="C72" s="242"/>
    </row>
    <row r="73" spans="2:3" x14ac:dyDescent="0.35">
      <c r="B73" s="242"/>
      <c r="C73" s="242"/>
    </row>
    <row r="74" spans="2:3" x14ac:dyDescent="0.35">
      <c r="B74" s="242"/>
      <c r="C74" s="242"/>
    </row>
    <row r="75" spans="2:3" x14ac:dyDescent="0.35">
      <c r="B75" s="242"/>
      <c r="C75" s="242"/>
    </row>
    <row r="76" spans="2:3" x14ac:dyDescent="0.35">
      <c r="B76" s="242"/>
      <c r="C76" s="242"/>
    </row>
    <row r="77" spans="2:3" x14ac:dyDescent="0.35">
      <c r="B77" s="242"/>
      <c r="C77" s="242"/>
    </row>
    <row r="78" spans="2:3" x14ac:dyDescent="0.35">
      <c r="B78" s="242"/>
      <c r="C78" s="242"/>
    </row>
    <row r="79" spans="2:3" x14ac:dyDescent="0.35">
      <c r="B79" s="242"/>
      <c r="C79" s="242"/>
    </row>
    <row r="80" spans="2:3" x14ac:dyDescent="0.35">
      <c r="B80" s="242"/>
      <c r="C80" s="242"/>
    </row>
    <row r="81" spans="2:3" x14ac:dyDescent="0.35">
      <c r="B81" s="242"/>
      <c r="C81" s="242"/>
    </row>
    <row r="82" spans="2:3" x14ac:dyDescent="0.35">
      <c r="B82" s="242"/>
      <c r="C82" s="242"/>
    </row>
    <row r="83" spans="2:3" x14ac:dyDescent="0.35">
      <c r="B83" s="242"/>
      <c r="C83" s="242"/>
    </row>
    <row r="84" spans="2:3" x14ac:dyDescent="0.35">
      <c r="B84" s="242"/>
      <c r="C84" s="242"/>
    </row>
    <row r="85" spans="2:3" x14ac:dyDescent="0.35">
      <c r="B85" s="242"/>
      <c r="C85" s="242"/>
    </row>
    <row r="86" spans="2:3" x14ac:dyDescent="0.35">
      <c r="B86" s="242"/>
      <c r="C86" s="242"/>
    </row>
    <row r="87" spans="2:3" x14ac:dyDescent="0.35">
      <c r="B87" s="242"/>
      <c r="C87" s="242"/>
    </row>
    <row r="88" spans="2:3" x14ac:dyDescent="0.35">
      <c r="B88" s="242"/>
      <c r="C88" s="242"/>
    </row>
    <row r="89" spans="2:3" x14ac:dyDescent="0.35">
      <c r="B89" s="242"/>
      <c r="C89" s="242"/>
    </row>
    <row r="90" spans="2:3" x14ac:dyDescent="0.35">
      <c r="B90" s="242"/>
      <c r="C90" s="242"/>
    </row>
    <row r="91" spans="2:3" x14ac:dyDescent="0.35">
      <c r="B91" s="242"/>
      <c r="C91" s="242"/>
    </row>
    <row r="92" spans="2:3" x14ac:dyDescent="0.35">
      <c r="B92" s="242"/>
      <c r="C92" s="242"/>
    </row>
    <row r="93" spans="2:3" x14ac:dyDescent="0.35">
      <c r="B93" s="242"/>
      <c r="C93" s="242"/>
    </row>
    <row r="94" spans="2:3" x14ac:dyDescent="0.35">
      <c r="B94" s="242"/>
      <c r="C94" s="242"/>
    </row>
    <row r="95" spans="2:3" x14ac:dyDescent="0.35">
      <c r="B95" s="242"/>
      <c r="C95" s="242"/>
    </row>
    <row r="96" spans="2:3" x14ac:dyDescent="0.35">
      <c r="B96" s="242"/>
      <c r="C96" s="242"/>
    </row>
    <row r="97" spans="2:3" x14ac:dyDescent="0.35">
      <c r="B97" s="242"/>
      <c r="C97" s="242"/>
    </row>
    <row r="98" spans="2:3" x14ac:dyDescent="0.35">
      <c r="B98" s="242"/>
      <c r="C98" s="242"/>
    </row>
    <row r="99" spans="2:3" x14ac:dyDescent="0.35">
      <c r="B99" s="242"/>
      <c r="C99" s="242"/>
    </row>
    <row r="100" spans="2:3" x14ac:dyDescent="0.35">
      <c r="B100" s="242"/>
      <c r="C100" s="242"/>
    </row>
    <row r="101" spans="2:3" x14ac:dyDescent="0.35">
      <c r="B101" s="242"/>
      <c r="C101" s="242"/>
    </row>
    <row r="102" spans="2:3" x14ac:dyDescent="0.35">
      <c r="B102" s="242"/>
      <c r="C102" s="242"/>
    </row>
    <row r="103" spans="2:3" x14ac:dyDescent="0.35">
      <c r="B103" s="242"/>
      <c r="C103" s="242"/>
    </row>
    <row r="104" spans="2:3" x14ac:dyDescent="0.35">
      <c r="B104" s="242"/>
      <c r="C104" s="242"/>
    </row>
    <row r="105" spans="2:3" x14ac:dyDescent="0.35">
      <c r="B105" s="242"/>
      <c r="C105" s="242"/>
    </row>
    <row r="106" spans="2:3" x14ac:dyDescent="0.35">
      <c r="B106" s="242"/>
      <c r="C106" s="242"/>
    </row>
    <row r="107" spans="2:3" x14ac:dyDescent="0.35">
      <c r="B107" s="242"/>
      <c r="C107" s="242"/>
    </row>
    <row r="108" spans="2:3" x14ac:dyDescent="0.35">
      <c r="B108" s="242"/>
      <c r="C108" s="242"/>
    </row>
    <row r="109" spans="2:3" x14ac:dyDescent="0.35">
      <c r="B109" s="242"/>
      <c r="C109" s="242"/>
    </row>
    <row r="110" spans="2:3" x14ac:dyDescent="0.35">
      <c r="B110" s="242"/>
      <c r="C110" s="242"/>
    </row>
    <row r="111" spans="2:3" x14ac:dyDescent="0.35">
      <c r="B111" s="242"/>
      <c r="C111" s="242"/>
    </row>
    <row r="112" spans="2:3" x14ac:dyDescent="0.35">
      <c r="B112" s="242"/>
      <c r="C112" s="242"/>
    </row>
    <row r="113" spans="2:3" x14ac:dyDescent="0.35">
      <c r="B113" s="242"/>
      <c r="C113" s="242"/>
    </row>
    <row r="114" spans="2:3" x14ac:dyDescent="0.35">
      <c r="B114" s="242"/>
      <c r="C114" s="242"/>
    </row>
    <row r="115" spans="2:3" x14ac:dyDescent="0.35">
      <c r="B115" s="242"/>
      <c r="C115" s="242"/>
    </row>
    <row r="116" spans="2:3" x14ac:dyDescent="0.35">
      <c r="B116" s="242"/>
      <c r="C116" s="242"/>
    </row>
    <row r="117" spans="2:3" x14ac:dyDescent="0.35">
      <c r="B117" s="242"/>
      <c r="C117" s="242"/>
    </row>
    <row r="118" spans="2:3" x14ac:dyDescent="0.35">
      <c r="B118" s="242"/>
      <c r="C118" s="242"/>
    </row>
    <row r="119" spans="2:3" x14ac:dyDescent="0.35">
      <c r="B119" s="242"/>
      <c r="C119" s="242"/>
    </row>
    <row r="120" spans="2:3" x14ac:dyDescent="0.35">
      <c r="B120" s="242"/>
      <c r="C120" s="242"/>
    </row>
    <row r="121" spans="2:3" x14ac:dyDescent="0.35">
      <c r="B121" s="242"/>
      <c r="C121" s="242"/>
    </row>
    <row r="122" spans="2:3" x14ac:dyDescent="0.35">
      <c r="B122" s="242"/>
      <c r="C122" s="242"/>
    </row>
    <row r="123" spans="2:3" x14ac:dyDescent="0.35">
      <c r="B123" s="242"/>
      <c r="C123" s="242"/>
    </row>
    <row r="124" spans="2:3" x14ac:dyDescent="0.35">
      <c r="B124" s="242"/>
      <c r="C124" s="242"/>
    </row>
    <row r="125" spans="2:3" x14ac:dyDescent="0.35">
      <c r="B125" s="242"/>
      <c r="C125" s="242"/>
    </row>
    <row r="126" spans="2:3" x14ac:dyDescent="0.35">
      <c r="B126" s="242"/>
      <c r="C126" s="242"/>
    </row>
    <row r="127" spans="2:3" x14ac:dyDescent="0.35">
      <c r="B127" s="242"/>
      <c r="C127" s="242"/>
    </row>
    <row r="128" spans="2:3" x14ac:dyDescent="0.35">
      <c r="B128" s="242"/>
      <c r="C128" s="242"/>
    </row>
    <row r="129" spans="2:3" x14ac:dyDescent="0.35">
      <c r="B129" s="242"/>
      <c r="C129" s="242"/>
    </row>
    <row r="130" spans="2:3" x14ac:dyDescent="0.35">
      <c r="B130" s="242"/>
      <c r="C130" s="242"/>
    </row>
    <row r="131" spans="2:3" x14ac:dyDescent="0.35">
      <c r="B131" s="242"/>
      <c r="C131" s="242"/>
    </row>
    <row r="132" spans="2:3" x14ac:dyDescent="0.35">
      <c r="B132" s="242"/>
      <c r="C132" s="242"/>
    </row>
    <row r="133" spans="2:3" x14ac:dyDescent="0.35">
      <c r="B133" s="242"/>
      <c r="C133" s="242"/>
    </row>
    <row r="134" spans="2:3" x14ac:dyDescent="0.35">
      <c r="B134" s="242"/>
      <c r="C134" s="242"/>
    </row>
    <row r="135" spans="2:3" x14ac:dyDescent="0.35">
      <c r="B135" s="242"/>
      <c r="C135" s="242"/>
    </row>
    <row r="136" spans="2:3" x14ac:dyDescent="0.35">
      <c r="B136" s="242"/>
      <c r="C136" s="242"/>
    </row>
    <row r="137" spans="2:3" x14ac:dyDescent="0.35">
      <c r="B137" s="242"/>
      <c r="C137" s="242"/>
    </row>
    <row r="138" spans="2:3" x14ac:dyDescent="0.35">
      <c r="B138" s="242"/>
      <c r="C138" s="242"/>
    </row>
  </sheetData>
  <mergeCells count="5">
    <mergeCell ref="C9:E9"/>
    <mergeCell ref="A6:E6"/>
    <mergeCell ref="A46:E46"/>
    <mergeCell ref="A9:A10"/>
    <mergeCell ref="B9:B10"/>
  </mergeCells>
  <printOptions horizontalCentered="1"/>
  <pageMargins left="1.1811023622047245" right="0.39370078740157483" top="0.78740157480314965" bottom="0.78740157480314965" header="0.39370078740157483" footer="0.39370078740157483"/>
  <pageSetup paperSize="9" scale="62" fitToHeight="0" orientation="portrait" blackAndWhite="1" errors="blank" r:id="rId1"/>
  <headerFooter differentFirst="1">
    <oddHeader>&amp;C&amp;"Times New Roman,обычный"&amp;12&amp;P</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CCC"/>
  </sheetPr>
  <dimension ref="A1:H32"/>
  <sheetViews>
    <sheetView topLeftCell="A22" zoomScale="80" zoomScaleNormal="80" workbookViewId="0">
      <selection activeCell="G8" sqref="G8"/>
    </sheetView>
  </sheetViews>
  <sheetFormatPr defaultColWidth="9.109375" defaultRowHeight="18" x14ac:dyDescent="0.35"/>
  <cols>
    <col min="1" max="1" width="33.33203125" style="284" customWidth="1"/>
    <col min="2" max="2" width="56.109375" style="284" customWidth="1"/>
    <col min="3" max="3" width="18.6640625" style="284" customWidth="1"/>
    <col min="4" max="4" width="15.88671875" style="284" customWidth="1"/>
    <col min="5" max="5" width="15.33203125" style="284" customWidth="1"/>
    <col min="6" max="6" width="19.88671875" style="284" customWidth="1"/>
    <col min="7" max="7" width="10.88671875" style="284" bestFit="1" customWidth="1"/>
    <col min="8" max="16384" width="9.109375" style="284"/>
  </cols>
  <sheetData>
    <row r="1" spans="1:7" x14ac:dyDescent="0.35">
      <c r="E1" s="205" t="s">
        <v>580</v>
      </c>
    </row>
    <row r="2" spans="1:7" x14ac:dyDescent="0.35">
      <c r="E2" s="205" t="s">
        <v>695</v>
      </c>
    </row>
    <row r="3" spans="1:7" x14ac:dyDescent="0.35">
      <c r="E3" s="205"/>
    </row>
    <row r="4" spans="1:7" s="79" customFormat="1" ht="18" customHeight="1" x14ac:dyDescent="0.35">
      <c r="C4" s="84"/>
    </row>
    <row r="5" spans="1:7" s="79" customFormat="1" ht="36" customHeight="1" x14ac:dyDescent="0.35">
      <c r="A5" s="864" t="s">
        <v>629</v>
      </c>
      <c r="B5" s="865"/>
      <c r="C5" s="865"/>
      <c r="D5" s="865"/>
      <c r="E5" s="865"/>
    </row>
    <row r="6" spans="1:7" x14ac:dyDescent="0.35">
      <c r="A6" s="865"/>
      <c r="B6" s="865"/>
      <c r="C6" s="865"/>
      <c r="D6" s="865"/>
      <c r="E6" s="865"/>
      <c r="F6" s="547"/>
    </row>
    <row r="7" spans="1:7" ht="37.5" customHeight="1" x14ac:dyDescent="0.35">
      <c r="E7" s="302" t="s">
        <v>236</v>
      </c>
    </row>
    <row r="8" spans="1:7" ht="33" customHeight="1" x14ac:dyDescent="0.35">
      <c r="A8" s="822" t="s">
        <v>13</v>
      </c>
      <c r="B8" s="822" t="s">
        <v>502</v>
      </c>
      <c r="C8" s="866" t="s">
        <v>15</v>
      </c>
      <c r="D8" s="867"/>
      <c r="E8" s="868"/>
      <c r="F8" s="548"/>
    </row>
    <row r="9" spans="1:7" ht="43.2" customHeight="1" x14ac:dyDescent="0.35">
      <c r="A9" s="823"/>
      <c r="B9" s="823"/>
      <c r="C9" s="235" t="s">
        <v>514</v>
      </c>
      <c r="D9" s="235" t="s">
        <v>578</v>
      </c>
      <c r="E9" s="235" t="s">
        <v>621</v>
      </c>
      <c r="F9" s="548"/>
    </row>
    <row r="10" spans="1:7" ht="18" customHeight="1" x14ac:dyDescent="0.35">
      <c r="A10" s="291">
        <v>1</v>
      </c>
      <c r="B10" s="303">
        <v>2</v>
      </c>
      <c r="C10" s="388">
        <v>3</v>
      </c>
      <c r="D10" s="291">
        <v>4</v>
      </c>
      <c r="E10" s="304">
        <v>5</v>
      </c>
      <c r="F10" s="548"/>
    </row>
    <row r="11" spans="1:7" ht="37.200000000000003" customHeight="1" x14ac:dyDescent="0.35">
      <c r="A11" s="305" t="s">
        <v>237</v>
      </c>
      <c r="B11" s="387" t="s">
        <v>238</v>
      </c>
      <c r="C11" s="306">
        <f>C16+C12+C25</f>
        <v>94534.098879999947</v>
      </c>
      <c r="D11" s="306">
        <f>D16</f>
        <v>0</v>
      </c>
      <c r="E11" s="306">
        <f t="shared" ref="E11" si="0">E16</f>
        <v>0</v>
      </c>
      <c r="F11" s="549"/>
    </row>
    <row r="12" spans="1:7" ht="37.200000000000003" customHeight="1" x14ac:dyDescent="0.35">
      <c r="A12" s="307" t="s">
        <v>644</v>
      </c>
      <c r="B12" s="711" t="s">
        <v>677</v>
      </c>
      <c r="C12" s="389">
        <f>C13</f>
        <v>-36000</v>
      </c>
      <c r="D12" s="740">
        <f t="shared" ref="D12:E14" si="1">D13</f>
        <v>0</v>
      </c>
      <c r="E12" s="389">
        <f t="shared" si="1"/>
        <v>0</v>
      </c>
      <c r="F12" s="549"/>
    </row>
    <row r="13" spans="1:7" ht="61.95" customHeight="1" x14ac:dyDescent="0.35">
      <c r="A13" s="308" t="s">
        <v>645</v>
      </c>
      <c r="B13" s="712" t="s">
        <v>646</v>
      </c>
      <c r="C13" s="739">
        <v>-36000</v>
      </c>
      <c r="D13" s="741">
        <f t="shared" si="1"/>
        <v>0</v>
      </c>
      <c r="E13" s="739">
        <f t="shared" si="1"/>
        <v>0</v>
      </c>
      <c r="F13" s="549"/>
    </row>
    <row r="14" spans="1:7" ht="76.2" customHeight="1" x14ac:dyDescent="0.35">
      <c r="A14" s="308" t="s">
        <v>647</v>
      </c>
      <c r="B14" s="712" t="s">
        <v>648</v>
      </c>
      <c r="C14" s="739">
        <f>C15</f>
        <v>36000</v>
      </c>
      <c r="D14" s="739">
        <f t="shared" si="1"/>
        <v>0</v>
      </c>
      <c r="E14" s="739">
        <f t="shared" si="1"/>
        <v>0</v>
      </c>
      <c r="F14" s="549"/>
    </row>
    <row r="15" spans="1:7" ht="79.2" customHeight="1" x14ac:dyDescent="0.35">
      <c r="A15" s="308" t="s">
        <v>649</v>
      </c>
      <c r="B15" s="712" t="s">
        <v>650</v>
      </c>
      <c r="C15" s="739">
        <v>36000</v>
      </c>
      <c r="D15" s="739">
        <v>0</v>
      </c>
      <c r="E15" s="739">
        <v>0</v>
      </c>
      <c r="F15" s="549"/>
    </row>
    <row r="16" spans="1:7" s="552" customFormat="1" ht="34.950000000000003" customHeight="1" x14ac:dyDescent="0.3">
      <c r="A16" s="307" t="s">
        <v>239</v>
      </c>
      <c r="B16" s="579" t="s">
        <v>240</v>
      </c>
      <c r="C16" s="389">
        <f>C21-C17</f>
        <v>94534.098879999947</v>
      </c>
      <c r="D16" s="389">
        <f>D21-D17</f>
        <v>0</v>
      </c>
      <c r="E16" s="389">
        <f>E21-E17</f>
        <v>0</v>
      </c>
      <c r="F16" s="550"/>
      <c r="G16" s="551"/>
    </row>
    <row r="17" spans="1:8" x14ac:dyDescent="0.35">
      <c r="A17" s="308" t="s">
        <v>241</v>
      </c>
      <c r="B17" s="580" t="s">
        <v>242</v>
      </c>
      <c r="C17" s="384">
        <f t="shared" ref="C17:E19" si="2">C18</f>
        <v>2377910.8314999999</v>
      </c>
      <c r="D17" s="384">
        <f t="shared" si="2"/>
        <v>2079560.3999999997</v>
      </c>
      <c r="E17" s="384">
        <f t="shared" si="2"/>
        <v>2148414.9999999995</v>
      </c>
    </row>
    <row r="18" spans="1:8" ht="16.5" customHeight="1" x14ac:dyDescent="0.35">
      <c r="A18" s="308" t="s">
        <v>243</v>
      </c>
      <c r="B18" s="580" t="s">
        <v>244</v>
      </c>
      <c r="C18" s="384">
        <f t="shared" si="2"/>
        <v>2377910.8314999999</v>
      </c>
      <c r="D18" s="384">
        <f t="shared" si="2"/>
        <v>2079560.3999999997</v>
      </c>
      <c r="E18" s="384">
        <f t="shared" si="2"/>
        <v>2148414.9999999995</v>
      </c>
    </row>
    <row r="19" spans="1:8" ht="20.25" customHeight="1" x14ac:dyDescent="0.35">
      <c r="A19" s="308" t="s">
        <v>345</v>
      </c>
      <c r="B19" s="581" t="s">
        <v>245</v>
      </c>
      <c r="C19" s="385">
        <f t="shared" si="2"/>
        <v>2377910.8314999999</v>
      </c>
      <c r="D19" s="385">
        <f t="shared" si="2"/>
        <v>2079560.3999999997</v>
      </c>
      <c r="E19" s="385">
        <f t="shared" si="2"/>
        <v>2148414.9999999995</v>
      </c>
    </row>
    <row r="20" spans="1:8" ht="37.5" customHeight="1" x14ac:dyDescent="0.35">
      <c r="A20" s="308" t="s">
        <v>246</v>
      </c>
      <c r="B20" s="581" t="s">
        <v>3</v>
      </c>
      <c r="C20" s="385">
        <f>'прил. 1 (поступл.24-26)'!C44+C25+'прил. 1 (поступл.24-26)'!C43+'прил. 1 (поступл.24-26)'!C40+'прил. 1 (поступл.24-26)'!C41+'прил. 1 (поступл.24-26)'!C42</f>
        <v>2377910.8314999999</v>
      </c>
      <c r="D20" s="383">
        <f>'прил. 1 (поступл.24-26)'!D44</f>
        <v>2079560.3999999997</v>
      </c>
      <c r="E20" s="383">
        <f>'прил. 1 (поступл.24-26)'!E44</f>
        <v>2148414.9999999995</v>
      </c>
    </row>
    <row r="21" spans="1:8" x14ac:dyDescent="0.35">
      <c r="A21" s="308" t="s">
        <v>247</v>
      </c>
      <c r="B21" s="581" t="s">
        <v>248</v>
      </c>
      <c r="C21" s="385">
        <f>C22</f>
        <v>2472444.9303799998</v>
      </c>
      <c r="D21" s="385">
        <f t="shared" ref="D21:E23" si="3">D22</f>
        <v>2079560.3999999997</v>
      </c>
      <c r="E21" s="385">
        <f t="shared" si="3"/>
        <v>2148415</v>
      </c>
    </row>
    <row r="22" spans="1:8" x14ac:dyDescent="0.35">
      <c r="A22" s="308" t="s">
        <v>249</v>
      </c>
      <c r="B22" s="581" t="s">
        <v>250</v>
      </c>
      <c r="C22" s="385">
        <f>C23</f>
        <v>2472444.9303799998</v>
      </c>
      <c r="D22" s="385">
        <f t="shared" si="3"/>
        <v>2079560.3999999997</v>
      </c>
      <c r="E22" s="385">
        <f t="shared" si="3"/>
        <v>2148415</v>
      </c>
    </row>
    <row r="23" spans="1:8" ht="22.2" customHeight="1" x14ac:dyDescent="0.35">
      <c r="A23" s="308" t="s">
        <v>251</v>
      </c>
      <c r="B23" s="581" t="s">
        <v>252</v>
      </c>
      <c r="C23" s="385">
        <f>C24</f>
        <v>2472444.9303799998</v>
      </c>
      <c r="D23" s="385">
        <f t="shared" si="3"/>
        <v>2079560.3999999997</v>
      </c>
      <c r="E23" s="385">
        <f t="shared" si="3"/>
        <v>2148415</v>
      </c>
    </row>
    <row r="24" spans="1:8" ht="36" x14ac:dyDescent="0.35">
      <c r="A24" s="309" t="s">
        <v>253</v>
      </c>
      <c r="B24" s="582" t="s">
        <v>4</v>
      </c>
      <c r="C24" s="386">
        <f>'прил8 (ведом 24)'!M11+C15+'прил. 1 (поступл.24-26)'!C43+'прил. 1 (поступл.24-26)'!C42+'прил. 1 (поступл.24-26)'!C41+'прил. 1 (поступл.24-26)'!C40</f>
        <v>2472444.9303799998</v>
      </c>
      <c r="D24" s="386">
        <f>'прил9 (ведом 25-26)'!M13</f>
        <v>2079560.3999999997</v>
      </c>
      <c r="E24" s="386">
        <f>'прил9 (ведом 25-26)'!N13</f>
        <v>2148415</v>
      </c>
    </row>
    <row r="25" spans="1:8" ht="34.799999999999997" x14ac:dyDescent="0.35">
      <c r="A25" s="710" t="s">
        <v>594</v>
      </c>
      <c r="B25" s="711" t="s">
        <v>595</v>
      </c>
      <c r="C25" s="389">
        <f t="shared" ref="C25:E26" si="4">C26</f>
        <v>36000</v>
      </c>
      <c r="D25" s="389">
        <f t="shared" si="4"/>
        <v>0</v>
      </c>
      <c r="E25" s="389">
        <f t="shared" si="4"/>
        <v>0</v>
      </c>
    </row>
    <row r="26" spans="1:8" ht="36" x14ac:dyDescent="0.35">
      <c r="A26" s="308" t="s">
        <v>596</v>
      </c>
      <c r="B26" s="712" t="s">
        <v>597</v>
      </c>
      <c r="C26" s="385">
        <f t="shared" si="4"/>
        <v>36000</v>
      </c>
      <c r="D26" s="385">
        <f t="shared" si="4"/>
        <v>0</v>
      </c>
      <c r="E26" s="385">
        <f t="shared" si="4"/>
        <v>0</v>
      </c>
    </row>
    <row r="27" spans="1:8" ht="36" x14ac:dyDescent="0.35">
      <c r="A27" s="308" t="s">
        <v>598</v>
      </c>
      <c r="B27" s="712" t="s">
        <v>599</v>
      </c>
      <c r="C27" s="385">
        <f t="shared" ref="C27:E27" si="5">C28</f>
        <v>36000</v>
      </c>
      <c r="D27" s="385">
        <f t="shared" si="5"/>
        <v>0</v>
      </c>
      <c r="E27" s="385">
        <f t="shared" si="5"/>
        <v>0</v>
      </c>
    </row>
    <row r="28" spans="1:8" ht="72" x14ac:dyDescent="0.35">
      <c r="A28" s="308" t="s">
        <v>600</v>
      </c>
      <c r="B28" s="712" t="s">
        <v>601</v>
      </c>
      <c r="C28" s="385">
        <f>C29</f>
        <v>36000</v>
      </c>
      <c r="D28" s="385">
        <f>D29</f>
        <v>0</v>
      </c>
      <c r="E28" s="385">
        <f>E29</f>
        <v>0</v>
      </c>
    </row>
    <row r="29" spans="1:8" ht="90" x14ac:dyDescent="0.35">
      <c r="A29" s="309" t="s">
        <v>602</v>
      </c>
      <c r="B29" s="713" t="s">
        <v>603</v>
      </c>
      <c r="C29" s="386">
        <v>36000</v>
      </c>
      <c r="D29" s="386">
        <v>0</v>
      </c>
      <c r="E29" s="714">
        <v>0</v>
      </c>
    </row>
    <row r="30" spans="1:8" s="334" customFormat="1" ht="55.2" customHeight="1" x14ac:dyDescent="0.35">
      <c r="A30" s="545" t="s">
        <v>396</v>
      </c>
      <c r="B30" s="791"/>
      <c r="C30" s="141"/>
      <c r="D30" s="141"/>
      <c r="E30" s="141"/>
      <c r="F30" s="371"/>
      <c r="G30" s="155"/>
      <c r="H30" s="553"/>
    </row>
    <row r="31" spans="1:8" s="334" customFormat="1" x14ac:dyDescent="0.35">
      <c r="A31" s="545" t="s">
        <v>397</v>
      </c>
      <c r="B31" s="791"/>
      <c r="C31" s="141"/>
      <c r="D31" s="141"/>
      <c r="E31" s="141"/>
      <c r="F31" s="371"/>
      <c r="G31" s="155"/>
      <c r="H31" s="553"/>
    </row>
    <row r="32" spans="1:8" s="334" customFormat="1" x14ac:dyDescent="0.35">
      <c r="A32" s="735" t="s">
        <v>398</v>
      </c>
      <c r="B32" s="791"/>
      <c r="C32" s="158"/>
      <c r="D32" s="141"/>
      <c r="E32" s="158" t="s">
        <v>409</v>
      </c>
      <c r="F32" s="371"/>
    </row>
  </sheetData>
  <mergeCells count="4">
    <mergeCell ref="A5:E6"/>
    <mergeCell ref="C8:E8"/>
    <mergeCell ref="A8:A9"/>
    <mergeCell ref="B8:B9"/>
  </mergeCells>
  <printOptions horizontalCentered="1"/>
  <pageMargins left="1.1811023622047245" right="0.39370078740157483" top="0.78740157480314965" bottom="0.78740157480314965" header="0" footer="0"/>
  <pageSetup paperSize="9" scale="61" orientation="portrait" blackAndWhite="1"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pageSetUpPr fitToPage="1"/>
  </sheetPr>
  <dimension ref="A1:H18"/>
  <sheetViews>
    <sheetView zoomScaleNormal="100" workbookViewId="0">
      <selection activeCell="H8" sqref="H8"/>
    </sheetView>
  </sheetViews>
  <sheetFormatPr defaultColWidth="8.88671875" defaultRowHeight="18" x14ac:dyDescent="0.35"/>
  <cols>
    <col min="1" max="1" width="65" style="79" customWidth="1"/>
    <col min="2" max="2" width="14.6640625" style="79" customWidth="1"/>
    <col min="3" max="3" width="13.33203125" style="79" customWidth="1"/>
    <col min="4" max="4" width="11" style="79" customWidth="1"/>
    <col min="5" max="16384" width="8.88671875" style="79"/>
  </cols>
  <sheetData>
    <row r="1" spans="1:6" x14ac:dyDescent="0.35">
      <c r="D1" s="205" t="s">
        <v>630</v>
      </c>
    </row>
    <row r="2" spans="1:6" x14ac:dyDescent="0.35">
      <c r="D2" s="205" t="s">
        <v>695</v>
      </c>
    </row>
    <row r="5" spans="1:6" ht="57" customHeight="1" x14ac:dyDescent="0.35">
      <c r="A5" s="872" t="s">
        <v>664</v>
      </c>
      <c r="B5" s="872"/>
      <c r="C5" s="872"/>
      <c r="D5" s="872"/>
    </row>
    <row r="6" spans="1:6" ht="16.95" customHeight="1" x14ac:dyDescent="0.35">
      <c r="A6" s="569"/>
      <c r="B6" s="569"/>
      <c r="C6" s="322"/>
    </row>
    <row r="7" spans="1:6" x14ac:dyDescent="0.35">
      <c r="D7" s="84" t="s">
        <v>21</v>
      </c>
    </row>
    <row r="8" spans="1:6" ht="19.95" customHeight="1" x14ac:dyDescent="0.35">
      <c r="A8" s="814" t="s">
        <v>271</v>
      </c>
      <c r="B8" s="869" t="s">
        <v>15</v>
      </c>
      <c r="C8" s="870"/>
      <c r="D8" s="871"/>
    </row>
    <row r="9" spans="1:6" ht="31.95" customHeight="1" x14ac:dyDescent="0.35">
      <c r="A9" s="815"/>
      <c r="B9" s="432" t="s">
        <v>514</v>
      </c>
      <c r="C9" s="432" t="s">
        <v>578</v>
      </c>
      <c r="D9" s="432" t="s">
        <v>621</v>
      </c>
    </row>
    <row r="10" spans="1:6" x14ac:dyDescent="0.35">
      <c r="A10" s="95">
        <v>1</v>
      </c>
      <c r="B10" s="95">
        <v>2</v>
      </c>
      <c r="C10" s="95">
        <v>3</v>
      </c>
      <c r="D10" s="95">
        <v>4</v>
      </c>
    </row>
    <row r="11" spans="1:6" ht="22.95" customHeight="1" x14ac:dyDescent="0.35">
      <c r="A11" s="323" t="s">
        <v>327</v>
      </c>
      <c r="B11" s="324">
        <f>SUM(B12:B13)</f>
        <v>48976.9</v>
      </c>
      <c r="C11" s="324">
        <f>SUM(C12:C13)</f>
        <v>9000</v>
      </c>
      <c r="D11" s="324">
        <f>SUM(D12:D13)</f>
        <v>9000</v>
      </c>
    </row>
    <row r="12" spans="1:6" ht="36" x14ac:dyDescent="0.35">
      <c r="A12" s="256" t="s">
        <v>272</v>
      </c>
      <c r="B12" s="311">
        <f>'прил8 (ведом 24)'!M254</f>
        <v>9000</v>
      </c>
      <c r="C12" s="311">
        <f>'прил9 (ведом 25-26)'!M193</f>
        <v>9000</v>
      </c>
      <c r="D12" s="311">
        <f>'прил9 (ведом 25-26)'!N193</f>
        <v>9000</v>
      </c>
    </row>
    <row r="13" spans="1:6" ht="36" x14ac:dyDescent="0.35">
      <c r="A13" s="325" t="s">
        <v>449</v>
      </c>
      <c r="B13" s="311">
        <f>'прил8 (ведом 24)'!M101+'прил8 (ведом 24)'!M103+'прил8 (ведом 24)'!M111+'прил8 (ведом 24)'!M210+'прил8 (ведом 24)'!M214+'прил8 (ведом 24)'!M260</f>
        <v>39976.9</v>
      </c>
      <c r="C13" s="311">
        <v>0</v>
      </c>
      <c r="D13" s="311">
        <v>0</v>
      </c>
    </row>
    <row r="16" spans="1:6" s="7" customFormat="1" x14ac:dyDescent="0.35">
      <c r="A16" s="344" t="s">
        <v>396</v>
      </c>
      <c r="B16" s="9"/>
      <c r="C16" s="10"/>
      <c r="D16" s="10"/>
      <c r="E16" s="10"/>
      <c r="F16" s="11"/>
    </row>
    <row r="17" spans="1:8" s="7" customFormat="1" x14ac:dyDescent="0.35">
      <c r="A17" s="344" t="s">
        <v>397</v>
      </c>
      <c r="B17" s="9"/>
      <c r="C17" s="10"/>
      <c r="D17" s="10"/>
      <c r="E17" s="10"/>
      <c r="F17" s="11"/>
    </row>
    <row r="18" spans="1:8" s="7" customFormat="1" x14ac:dyDescent="0.35">
      <c r="A18" s="345" t="s">
        <v>398</v>
      </c>
      <c r="D18" s="10" t="s">
        <v>409</v>
      </c>
      <c r="E18" s="10"/>
      <c r="H18" s="6"/>
    </row>
  </sheetData>
  <mergeCells count="3">
    <mergeCell ref="B8:D8"/>
    <mergeCell ref="A8:A9"/>
    <mergeCell ref="A5:D5"/>
  </mergeCells>
  <printOptions horizontalCentered="1"/>
  <pageMargins left="1.1811023622047245" right="0.39370078740157483" top="0.78740157480314965" bottom="0.78740157480314965" header="0.31496062992125984" footer="0.31496062992125984"/>
  <pageSetup paperSize="9" scale="81" fitToHeight="0" orientation="portrait" blackAndWhite="1"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pageSetUpPr fitToPage="1"/>
  </sheetPr>
  <dimension ref="A1:H35"/>
  <sheetViews>
    <sheetView zoomScaleNormal="100" workbookViewId="0">
      <selection activeCell="M6" sqref="M6"/>
    </sheetView>
  </sheetViews>
  <sheetFormatPr defaultColWidth="8.88671875" defaultRowHeight="13.2" x14ac:dyDescent="0.25"/>
  <cols>
    <col min="1" max="1" width="7.44140625" style="27" customWidth="1"/>
    <col min="2" max="3" width="8.88671875" style="27"/>
    <col min="4" max="4" width="6.5546875" style="27" customWidth="1"/>
    <col min="5" max="5" width="20.109375" style="27" customWidth="1"/>
    <col min="6" max="7" width="11.44140625" style="27" customWidth="1"/>
    <col min="8" max="8" width="11.88671875" style="27" bestFit="1" customWidth="1"/>
    <col min="9" max="16384" width="8.88671875" style="27"/>
  </cols>
  <sheetData>
    <row r="1" spans="1:8" ht="18" x14ac:dyDescent="0.35">
      <c r="H1" s="205" t="s">
        <v>581</v>
      </c>
    </row>
    <row r="2" spans="1:8" ht="18" x14ac:dyDescent="0.35">
      <c r="H2" s="205" t="s">
        <v>695</v>
      </c>
    </row>
    <row r="5" spans="1:8" s="2" customFormat="1" ht="18" x14ac:dyDescent="0.35">
      <c r="F5" s="3"/>
    </row>
    <row r="6" spans="1:8" s="2" customFormat="1" ht="69" customHeight="1" x14ac:dyDescent="0.35">
      <c r="A6" s="873" t="s">
        <v>631</v>
      </c>
      <c r="B6" s="873"/>
      <c r="C6" s="873"/>
      <c r="D6" s="873"/>
      <c r="E6" s="873"/>
      <c r="F6" s="873"/>
      <c r="G6" s="873"/>
      <c r="H6" s="873"/>
    </row>
    <row r="7" spans="1:8" s="2" customFormat="1" ht="18" x14ac:dyDescent="0.35"/>
    <row r="8" spans="1:8" s="2" customFormat="1" ht="18" x14ac:dyDescent="0.35">
      <c r="H8" s="13" t="s">
        <v>236</v>
      </c>
    </row>
    <row r="9" spans="1:8" s="2" customFormat="1" ht="18" x14ac:dyDescent="0.35">
      <c r="A9" s="880" t="s">
        <v>158</v>
      </c>
      <c r="B9" s="882" t="s">
        <v>126</v>
      </c>
      <c r="C9" s="883"/>
      <c r="D9" s="883"/>
      <c r="E9" s="884"/>
      <c r="F9" s="888" t="s">
        <v>15</v>
      </c>
      <c r="G9" s="888"/>
      <c r="H9" s="888"/>
    </row>
    <row r="10" spans="1:8" s="2" customFormat="1" ht="18" x14ac:dyDescent="0.35">
      <c r="A10" s="881"/>
      <c r="B10" s="885"/>
      <c r="C10" s="886"/>
      <c r="D10" s="886"/>
      <c r="E10" s="887"/>
      <c r="F10" s="14" t="s">
        <v>514</v>
      </c>
      <c r="G10" s="14" t="s">
        <v>578</v>
      </c>
      <c r="H10" s="14" t="s">
        <v>621</v>
      </c>
    </row>
    <row r="11" spans="1:8" s="2" customFormat="1" ht="16.95" customHeight="1" x14ac:dyDescent="0.35">
      <c r="A11" s="23">
        <v>1</v>
      </c>
      <c r="B11" s="877">
        <v>2</v>
      </c>
      <c r="C11" s="878"/>
      <c r="D11" s="878"/>
      <c r="E11" s="879"/>
      <c r="F11" s="17">
        <v>3</v>
      </c>
      <c r="G11" s="17">
        <v>4</v>
      </c>
      <c r="H11" s="17">
        <v>5</v>
      </c>
    </row>
    <row r="12" spans="1:8" s="2" customFormat="1" ht="18" x14ac:dyDescent="0.35">
      <c r="A12" s="4">
        <v>1</v>
      </c>
      <c r="B12" s="18" t="s">
        <v>444</v>
      </c>
      <c r="C12" s="18"/>
      <c r="D12" s="18"/>
      <c r="E12" s="18"/>
      <c r="F12" s="583">
        <v>1900.8</v>
      </c>
      <c r="G12" s="584">
        <v>1181</v>
      </c>
      <c r="H12" s="584">
        <v>1400.5</v>
      </c>
    </row>
    <row r="13" spans="1:8" s="2" customFormat="1" ht="18" x14ac:dyDescent="0.35">
      <c r="A13" s="4">
        <v>2</v>
      </c>
      <c r="B13" s="18" t="s">
        <v>257</v>
      </c>
      <c r="C13" s="18"/>
      <c r="D13" s="18"/>
      <c r="E13" s="18"/>
      <c r="F13" s="583">
        <v>1382.8</v>
      </c>
      <c r="G13" s="584">
        <v>1637.1</v>
      </c>
      <c r="H13" s="584">
        <v>1611.9</v>
      </c>
    </row>
    <row r="14" spans="1:8" s="2" customFormat="1" ht="18" x14ac:dyDescent="0.35">
      <c r="A14" s="4">
        <v>3</v>
      </c>
      <c r="B14" s="18" t="s">
        <v>258</v>
      </c>
      <c r="C14" s="18"/>
      <c r="D14" s="18"/>
      <c r="E14" s="18"/>
      <c r="F14" s="583">
        <v>1027.4000000000001</v>
      </c>
      <c r="G14" s="584">
        <v>1306.7</v>
      </c>
      <c r="H14" s="584">
        <v>1230</v>
      </c>
    </row>
    <row r="15" spans="1:8" s="2" customFormat="1" ht="18" x14ac:dyDescent="0.35">
      <c r="A15" s="4">
        <v>4</v>
      </c>
      <c r="B15" s="18" t="s">
        <v>259</v>
      </c>
      <c r="C15" s="18"/>
      <c r="D15" s="18"/>
      <c r="E15" s="18"/>
      <c r="F15" s="583">
        <v>656.5</v>
      </c>
      <c r="G15" s="584">
        <v>736.9</v>
      </c>
      <c r="H15" s="584">
        <v>698.7</v>
      </c>
    </row>
    <row r="16" spans="1:8" s="2" customFormat="1" ht="18" x14ac:dyDescent="0.35">
      <c r="A16" s="4">
        <v>5</v>
      </c>
      <c r="B16" s="18" t="s">
        <v>333</v>
      </c>
      <c r="C16" s="18"/>
      <c r="D16" s="18"/>
      <c r="E16" s="18"/>
      <c r="F16" s="583">
        <v>180.1</v>
      </c>
      <c r="G16" s="584">
        <v>0</v>
      </c>
      <c r="H16" s="584">
        <v>0</v>
      </c>
    </row>
    <row r="17" spans="1:8" s="2" customFormat="1" ht="18" x14ac:dyDescent="0.35">
      <c r="A17" s="4">
        <v>6</v>
      </c>
      <c r="B17" s="18" t="s">
        <v>260</v>
      </c>
      <c r="C17" s="18"/>
      <c r="D17" s="18"/>
      <c r="E17" s="18"/>
      <c r="F17" s="583">
        <v>329.9</v>
      </c>
      <c r="G17" s="584">
        <v>180.7</v>
      </c>
      <c r="H17" s="584">
        <v>195</v>
      </c>
    </row>
    <row r="18" spans="1:8" s="2" customFormat="1" ht="18" x14ac:dyDescent="0.35">
      <c r="A18" s="4">
        <v>7</v>
      </c>
      <c r="B18" s="18" t="s">
        <v>261</v>
      </c>
      <c r="C18" s="18"/>
      <c r="D18" s="18"/>
      <c r="E18" s="18"/>
      <c r="F18" s="583">
        <v>889.9</v>
      </c>
      <c r="G18" s="584">
        <v>1127.4000000000001</v>
      </c>
      <c r="H18" s="584">
        <v>1092.8</v>
      </c>
    </row>
    <row r="19" spans="1:8" s="2" customFormat="1" ht="18" x14ac:dyDescent="0.35">
      <c r="A19" s="4">
        <v>8</v>
      </c>
      <c r="B19" s="18" t="s">
        <v>262</v>
      </c>
      <c r="C19" s="18"/>
      <c r="D19" s="18"/>
      <c r="E19" s="18"/>
      <c r="F19" s="583">
        <v>1150.8</v>
      </c>
      <c r="G19" s="584">
        <v>1198.0999999999999</v>
      </c>
      <c r="H19" s="584">
        <v>1194.0999999999999</v>
      </c>
    </row>
    <row r="20" spans="1:8" s="2" customFormat="1" ht="18" x14ac:dyDescent="0.35">
      <c r="A20" s="4">
        <v>9</v>
      </c>
      <c r="B20" s="18" t="s">
        <v>263</v>
      </c>
      <c r="C20" s="18"/>
      <c r="D20" s="18"/>
      <c r="E20" s="18"/>
      <c r="F20" s="583">
        <v>1481.8</v>
      </c>
      <c r="G20" s="584">
        <v>1632.1</v>
      </c>
      <c r="H20" s="584">
        <v>1577</v>
      </c>
    </row>
    <row r="21" spans="1:8" s="2" customFormat="1" ht="22.95" customHeight="1" x14ac:dyDescent="0.35">
      <c r="A21" s="18"/>
      <c r="B21" s="874" t="s">
        <v>327</v>
      </c>
      <c r="C21" s="875"/>
      <c r="D21" s="875"/>
      <c r="E21" s="876"/>
      <c r="F21" s="19">
        <f>SUM(F12:F20)</f>
        <v>9000</v>
      </c>
      <c r="G21" s="19">
        <f>SUM(G12:G20)</f>
        <v>9000</v>
      </c>
      <c r="H21" s="19">
        <f>SUM(H12:H20)</f>
        <v>9000</v>
      </c>
    </row>
    <row r="22" spans="1:8" s="2" customFormat="1" ht="18" x14ac:dyDescent="0.35">
      <c r="F22" s="3"/>
    </row>
    <row r="23" spans="1:8" s="2" customFormat="1" ht="18" x14ac:dyDescent="0.35">
      <c r="F23" s="3"/>
    </row>
    <row r="24" spans="1:8" s="7" customFormat="1" ht="18" x14ac:dyDescent="0.35">
      <c r="A24" s="21" t="s">
        <v>396</v>
      </c>
      <c r="B24" s="9"/>
      <c r="C24" s="10"/>
      <c r="D24" s="10"/>
      <c r="E24" s="10"/>
      <c r="F24" s="11"/>
    </row>
    <row r="25" spans="1:8" s="7" customFormat="1" ht="18" x14ac:dyDescent="0.35">
      <c r="A25" s="21" t="s">
        <v>397</v>
      </c>
      <c r="B25" s="9"/>
      <c r="C25" s="10"/>
      <c r="D25" s="10"/>
      <c r="E25" s="10"/>
      <c r="F25" s="11"/>
    </row>
    <row r="26" spans="1:8" s="7" customFormat="1" ht="18" x14ac:dyDescent="0.35">
      <c r="A26" s="22" t="s">
        <v>398</v>
      </c>
      <c r="D26" s="10"/>
      <c r="E26" s="10"/>
      <c r="H26" s="6" t="s">
        <v>409</v>
      </c>
    </row>
    <row r="27" spans="1:8" s="2" customFormat="1" ht="18" x14ac:dyDescent="0.35">
      <c r="F27" s="3"/>
    </row>
    <row r="28" spans="1:8" s="2" customFormat="1" ht="18" x14ac:dyDescent="0.35">
      <c r="F28" s="3"/>
    </row>
    <row r="29" spans="1:8" s="2" customFormat="1" ht="18" x14ac:dyDescent="0.35">
      <c r="F29" s="3"/>
    </row>
    <row r="30" spans="1:8" s="2" customFormat="1" ht="18" x14ac:dyDescent="0.35">
      <c r="F30" s="3"/>
    </row>
    <row r="31" spans="1:8" s="2" customFormat="1" ht="18" x14ac:dyDescent="0.35">
      <c r="F31" s="20"/>
    </row>
    <row r="32" spans="1:8" s="2" customFormat="1" ht="18" x14ac:dyDescent="0.35">
      <c r="F32" s="3"/>
    </row>
    <row r="33" spans="1:6" s="2" customFormat="1" ht="18" x14ac:dyDescent="0.35">
      <c r="F33" s="3"/>
    </row>
    <row r="34" spans="1:6" s="2" customFormat="1" ht="18" x14ac:dyDescent="0.35">
      <c r="A34" s="1"/>
      <c r="B34" s="1"/>
      <c r="C34" s="1"/>
      <c r="D34" s="1"/>
      <c r="F34" s="3"/>
    </row>
    <row r="35" spans="1:6" s="2" customFormat="1" ht="18" x14ac:dyDescent="0.35">
      <c r="A35" s="1"/>
      <c r="B35" s="1"/>
      <c r="C35" s="1"/>
      <c r="D35" s="1"/>
      <c r="F35" s="13"/>
    </row>
  </sheetData>
  <mergeCells count="6">
    <mergeCell ref="A6:H6"/>
    <mergeCell ref="B21:E21"/>
    <mergeCell ref="B11:E11"/>
    <mergeCell ref="A9:A10"/>
    <mergeCell ref="B9:E10"/>
    <mergeCell ref="F9:H9"/>
  </mergeCells>
  <printOptions horizontalCentered="1"/>
  <pageMargins left="1.1811023622047245" right="0.39370078740157483" top="0.78740157480314965" bottom="0.78740157480314965" header="0" footer="0"/>
  <pageSetup paperSize="9" scale="98"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H48"/>
  <sheetViews>
    <sheetView zoomScale="90" zoomScaleNormal="90" zoomScaleSheetLayoutView="75" workbookViewId="0">
      <selection activeCell="H8" sqref="H8"/>
    </sheetView>
  </sheetViews>
  <sheetFormatPr defaultColWidth="9.109375" defaultRowHeight="18" x14ac:dyDescent="0.35"/>
  <cols>
    <col min="1" max="1" width="4.88671875" style="284" customWidth="1"/>
    <col min="2" max="2" width="76" style="407" customWidth="1"/>
    <col min="3" max="3" width="12" style="407" customWidth="1"/>
    <col min="4" max="4" width="12.5546875" style="284" customWidth="1"/>
    <col min="5" max="16384" width="9.109375" style="284"/>
  </cols>
  <sheetData>
    <row r="1" spans="1:4" x14ac:dyDescent="0.35">
      <c r="B1" s="538"/>
      <c r="C1" s="538"/>
      <c r="D1" s="205" t="s">
        <v>567</v>
      </c>
    </row>
    <row r="2" spans="1:4" x14ac:dyDescent="0.35">
      <c r="B2" s="538"/>
      <c r="C2" s="538"/>
      <c r="D2" s="205" t="s">
        <v>695</v>
      </c>
    </row>
    <row r="3" spans="1:4" x14ac:dyDescent="0.35">
      <c r="B3" s="717"/>
      <c r="C3" s="717"/>
      <c r="D3" s="205"/>
    </row>
    <row r="5" spans="1:4" x14ac:dyDescent="0.35">
      <c r="A5" s="901" t="s">
        <v>447</v>
      </c>
      <c r="B5" s="902"/>
      <c r="C5" s="902"/>
      <c r="D5" s="902"/>
    </row>
    <row r="6" spans="1:4" ht="20.25" customHeight="1" x14ac:dyDescent="0.35">
      <c r="A6" s="864" t="s">
        <v>632</v>
      </c>
      <c r="B6" s="864"/>
      <c r="C6" s="864"/>
      <c r="D6" s="864"/>
    </row>
    <row r="7" spans="1:4" x14ac:dyDescent="0.35">
      <c r="A7" s="390"/>
      <c r="B7" s="391"/>
      <c r="C7" s="391"/>
    </row>
    <row r="8" spans="1:4" ht="36" customHeight="1" x14ac:dyDescent="0.35">
      <c r="A8" s="903" t="s">
        <v>633</v>
      </c>
      <c r="B8" s="904"/>
      <c r="C8" s="904"/>
      <c r="D8" s="904"/>
    </row>
    <row r="9" spans="1:4" x14ac:dyDescent="0.35">
      <c r="A9" s="390"/>
      <c r="B9" s="391"/>
      <c r="C9" s="391"/>
    </row>
    <row r="10" spans="1:4" x14ac:dyDescent="0.35">
      <c r="A10" s="390"/>
      <c r="B10" s="391"/>
      <c r="C10" s="391"/>
      <c r="D10" s="392" t="s">
        <v>254</v>
      </c>
    </row>
    <row r="11" spans="1:4" ht="36" x14ac:dyDescent="0.35">
      <c r="A11" s="393" t="s">
        <v>255</v>
      </c>
      <c r="B11" s="905" t="s">
        <v>386</v>
      </c>
      <c r="C11" s="906"/>
      <c r="D11" s="394" t="s">
        <v>265</v>
      </c>
    </row>
    <row r="12" spans="1:4" x14ac:dyDescent="0.35">
      <c r="A12" s="393">
        <v>1</v>
      </c>
      <c r="B12" s="905">
        <v>2</v>
      </c>
      <c r="C12" s="906"/>
      <c r="D12" s="394">
        <v>3</v>
      </c>
    </row>
    <row r="13" spans="1:4" ht="41.25" customHeight="1" x14ac:dyDescent="0.35">
      <c r="A13" s="896" t="s">
        <v>256</v>
      </c>
      <c r="B13" s="907" t="s">
        <v>534</v>
      </c>
      <c r="C13" s="908"/>
      <c r="D13" s="395">
        <f>D16</f>
        <v>0</v>
      </c>
    </row>
    <row r="14" spans="1:4" x14ac:dyDescent="0.35">
      <c r="A14" s="897"/>
      <c r="B14" s="396" t="s">
        <v>160</v>
      </c>
      <c r="C14" s="397"/>
      <c r="D14" s="398"/>
    </row>
    <row r="15" spans="1:4" x14ac:dyDescent="0.35">
      <c r="A15" s="897"/>
      <c r="B15" s="396" t="s">
        <v>496</v>
      </c>
      <c r="C15" s="397"/>
      <c r="D15" s="398">
        <v>0</v>
      </c>
    </row>
    <row r="16" spans="1:4" x14ac:dyDescent="0.35">
      <c r="A16" s="898"/>
      <c r="B16" s="396" t="s">
        <v>266</v>
      </c>
      <c r="C16" s="397"/>
      <c r="D16" s="399">
        <v>0</v>
      </c>
    </row>
    <row r="17" spans="1:8" ht="59.25" customHeight="1" x14ac:dyDescent="0.35">
      <c r="A17" s="890" t="s">
        <v>535</v>
      </c>
      <c r="B17" s="899" t="s">
        <v>495</v>
      </c>
      <c r="C17" s="900"/>
      <c r="D17" s="400">
        <f>D19-D20</f>
        <v>-36000</v>
      </c>
      <c r="F17" s="401"/>
      <c r="G17" s="401"/>
      <c r="H17" s="401"/>
    </row>
    <row r="18" spans="1:8" x14ac:dyDescent="0.35">
      <c r="A18" s="891"/>
      <c r="B18" s="396" t="s">
        <v>160</v>
      </c>
      <c r="C18" s="402"/>
      <c r="D18" s="400"/>
      <c r="F18" s="401"/>
      <c r="G18" s="401"/>
      <c r="H18" s="401"/>
    </row>
    <row r="19" spans="1:8" x14ac:dyDescent="0.35">
      <c r="A19" s="891"/>
      <c r="B19" s="396" t="s">
        <v>678</v>
      </c>
      <c r="C19" s="402"/>
      <c r="D19" s="400">
        <v>0</v>
      </c>
      <c r="F19" s="403"/>
      <c r="G19" s="403"/>
      <c r="H19" s="401"/>
    </row>
    <row r="20" spans="1:8" x14ac:dyDescent="0.35">
      <c r="A20" s="891"/>
      <c r="B20" s="404" t="s">
        <v>266</v>
      </c>
      <c r="C20" s="405"/>
      <c r="D20" s="747">
        <v>36000</v>
      </c>
    </row>
    <row r="21" spans="1:8" ht="40.5" customHeight="1" x14ac:dyDescent="0.35">
      <c r="A21" s="890" t="s">
        <v>536</v>
      </c>
      <c r="B21" s="899" t="s">
        <v>537</v>
      </c>
      <c r="C21" s="900"/>
      <c r="D21" s="400">
        <f>D23-D24</f>
        <v>0</v>
      </c>
      <c r="F21" s="401"/>
      <c r="G21" s="401"/>
      <c r="H21" s="401"/>
    </row>
    <row r="22" spans="1:8" x14ac:dyDescent="0.35">
      <c r="A22" s="891"/>
      <c r="B22" s="396" t="s">
        <v>160</v>
      </c>
      <c r="C22" s="402"/>
      <c r="D22" s="400"/>
      <c r="F22" s="401"/>
      <c r="G22" s="401"/>
      <c r="H22" s="401"/>
    </row>
    <row r="23" spans="1:8" x14ac:dyDescent="0.35">
      <c r="A23" s="891"/>
      <c r="B23" s="396" t="s">
        <v>496</v>
      </c>
      <c r="C23" s="402"/>
      <c r="D23" s="400">
        <v>0</v>
      </c>
      <c r="F23" s="403"/>
      <c r="G23" s="403"/>
      <c r="H23" s="401"/>
    </row>
    <row r="24" spans="1:8" x14ac:dyDescent="0.35">
      <c r="A24" s="891"/>
      <c r="B24" s="404" t="s">
        <v>266</v>
      </c>
      <c r="C24" s="405"/>
      <c r="D24" s="406">
        <v>0</v>
      </c>
    </row>
    <row r="25" spans="1:8" x14ac:dyDescent="0.35">
      <c r="D25" s="408"/>
    </row>
    <row r="26" spans="1:8" ht="42" customHeight="1" x14ac:dyDescent="0.35">
      <c r="A26" s="892" t="s">
        <v>634</v>
      </c>
      <c r="B26" s="893"/>
      <c r="C26" s="893"/>
      <c r="D26" s="893"/>
    </row>
    <row r="27" spans="1:8" x14ac:dyDescent="0.35">
      <c r="A27" s="390"/>
      <c r="B27" s="391"/>
      <c r="C27" s="391"/>
    </row>
    <row r="28" spans="1:8" x14ac:dyDescent="0.35">
      <c r="A28" s="390"/>
      <c r="B28" s="391"/>
      <c r="C28" s="391"/>
      <c r="D28" s="392" t="s">
        <v>254</v>
      </c>
    </row>
    <row r="29" spans="1:8" ht="21.6" customHeight="1" x14ac:dyDescent="0.35">
      <c r="A29" s="894" t="s">
        <v>255</v>
      </c>
      <c r="B29" s="894" t="s">
        <v>386</v>
      </c>
      <c r="C29" s="895" t="s">
        <v>265</v>
      </c>
      <c r="D29" s="895"/>
    </row>
    <row r="30" spans="1:8" ht="25.2" customHeight="1" x14ac:dyDescent="0.35">
      <c r="A30" s="894"/>
      <c r="B30" s="894"/>
      <c r="C30" s="409" t="s">
        <v>578</v>
      </c>
      <c r="D30" s="409" t="s">
        <v>621</v>
      </c>
    </row>
    <row r="31" spans="1:8" x14ac:dyDescent="0.35">
      <c r="A31" s="409">
        <v>1</v>
      </c>
      <c r="B31" s="409">
        <v>2</v>
      </c>
      <c r="C31" s="409">
        <v>3</v>
      </c>
      <c r="D31" s="409">
        <v>4</v>
      </c>
    </row>
    <row r="32" spans="1:8" ht="41.25" customHeight="1" x14ac:dyDescent="0.35">
      <c r="A32" s="896" t="s">
        <v>256</v>
      </c>
      <c r="B32" s="410" t="s">
        <v>534</v>
      </c>
      <c r="C32" s="395">
        <f>C35</f>
        <v>0</v>
      </c>
      <c r="D32" s="395">
        <f>D35</f>
        <v>0</v>
      </c>
    </row>
    <row r="33" spans="1:8" x14ac:dyDescent="0.35">
      <c r="A33" s="897"/>
      <c r="B33" s="396" t="s">
        <v>160</v>
      </c>
      <c r="C33" s="398"/>
      <c r="D33" s="398"/>
    </row>
    <row r="34" spans="1:8" x14ac:dyDescent="0.35">
      <c r="A34" s="897"/>
      <c r="B34" s="396" t="s">
        <v>496</v>
      </c>
      <c r="C34" s="398">
        <v>0</v>
      </c>
      <c r="D34" s="398">
        <v>0</v>
      </c>
    </row>
    <row r="35" spans="1:8" x14ac:dyDescent="0.35">
      <c r="A35" s="898"/>
      <c r="B35" s="396" t="s">
        <v>266</v>
      </c>
      <c r="C35" s="399">
        <v>0</v>
      </c>
      <c r="D35" s="399">
        <v>0</v>
      </c>
    </row>
    <row r="36" spans="1:8" ht="56.25" customHeight="1" x14ac:dyDescent="0.35">
      <c r="A36" s="889" t="s">
        <v>535</v>
      </c>
      <c r="B36" s="411" t="s">
        <v>495</v>
      </c>
      <c r="C36" s="412">
        <f>C38-C39</f>
        <v>0</v>
      </c>
      <c r="D36" s="412">
        <f>D38-D39</f>
        <v>0</v>
      </c>
    </row>
    <row r="37" spans="1:8" ht="17.100000000000001" customHeight="1" x14ac:dyDescent="0.35">
      <c r="A37" s="889"/>
      <c r="B37" s="413" t="s">
        <v>160</v>
      </c>
      <c r="C37" s="400"/>
      <c r="D37" s="400"/>
    </row>
    <row r="38" spans="1:8" ht="17.100000000000001" customHeight="1" x14ac:dyDescent="0.35">
      <c r="A38" s="889"/>
      <c r="B38" s="413" t="s">
        <v>678</v>
      </c>
      <c r="C38" s="400">
        <v>0</v>
      </c>
      <c r="D38" s="400">
        <v>0</v>
      </c>
    </row>
    <row r="39" spans="1:8" ht="18" customHeight="1" x14ac:dyDescent="0.35">
      <c r="A39" s="889"/>
      <c r="B39" s="414" t="s">
        <v>266</v>
      </c>
      <c r="C39" s="415">
        <v>0</v>
      </c>
      <c r="D39" s="415">
        <v>0</v>
      </c>
    </row>
    <row r="40" spans="1:8" ht="40.5" customHeight="1" x14ac:dyDescent="0.35">
      <c r="A40" s="890" t="s">
        <v>536</v>
      </c>
      <c r="B40" s="411" t="s">
        <v>537</v>
      </c>
      <c r="C40" s="400">
        <f>C42-C43</f>
        <v>0</v>
      </c>
      <c r="D40" s="400">
        <f>D42-D43</f>
        <v>0</v>
      </c>
      <c r="F40" s="401"/>
      <c r="G40" s="401"/>
      <c r="H40" s="401"/>
    </row>
    <row r="41" spans="1:8" x14ac:dyDescent="0.35">
      <c r="A41" s="891"/>
      <c r="B41" s="413" t="s">
        <v>160</v>
      </c>
      <c r="C41" s="400"/>
      <c r="D41" s="400"/>
      <c r="F41" s="401"/>
      <c r="G41" s="401"/>
      <c r="H41" s="401"/>
    </row>
    <row r="42" spans="1:8" x14ac:dyDescent="0.35">
      <c r="A42" s="891"/>
      <c r="B42" s="413" t="s">
        <v>496</v>
      </c>
      <c r="C42" s="400">
        <v>0</v>
      </c>
      <c r="D42" s="400">
        <v>0</v>
      </c>
      <c r="F42" s="403"/>
      <c r="G42" s="403"/>
      <c r="H42" s="401"/>
    </row>
    <row r="43" spans="1:8" x14ac:dyDescent="0.35">
      <c r="A43" s="891"/>
      <c r="B43" s="414" t="s">
        <v>266</v>
      </c>
      <c r="C43" s="406">
        <v>0</v>
      </c>
      <c r="D43" s="406">
        <v>0</v>
      </c>
    </row>
    <row r="44" spans="1:8" ht="16.5" customHeight="1" x14ac:dyDescent="0.35">
      <c r="A44" s="416"/>
      <c r="B44" s="417"/>
      <c r="C44" s="417"/>
      <c r="D44" s="418"/>
    </row>
    <row r="46" spans="1:8" s="125" customFormat="1" x14ac:dyDescent="0.35">
      <c r="A46" s="156" t="s">
        <v>396</v>
      </c>
      <c r="B46" s="126"/>
      <c r="C46" s="127"/>
      <c r="D46" s="127"/>
      <c r="E46" s="127"/>
      <c r="F46" s="87"/>
      <c r="G46" s="155"/>
      <c r="H46" s="196"/>
    </row>
    <row r="47" spans="1:8" s="125" customFormat="1" x14ac:dyDescent="0.35">
      <c r="A47" s="156" t="s">
        <v>397</v>
      </c>
      <c r="B47" s="126"/>
      <c r="C47" s="127"/>
      <c r="E47" s="127"/>
      <c r="F47" s="87"/>
      <c r="G47" s="155"/>
      <c r="H47" s="196"/>
    </row>
    <row r="48" spans="1:8" s="125" customFormat="1" x14ac:dyDescent="0.35">
      <c r="A48" s="157" t="s">
        <v>398</v>
      </c>
      <c r="D48" s="158" t="s">
        <v>409</v>
      </c>
      <c r="E48" s="127"/>
    </row>
  </sheetData>
  <mergeCells count="18">
    <mergeCell ref="A17:A20"/>
    <mergeCell ref="B17:C17"/>
    <mergeCell ref="A21:A24"/>
    <mergeCell ref="B21:C21"/>
    <mergeCell ref="A5:D5"/>
    <mergeCell ref="A6:D6"/>
    <mergeCell ref="A8:D8"/>
    <mergeCell ref="A13:A16"/>
    <mergeCell ref="B11:C11"/>
    <mergeCell ref="B12:C12"/>
    <mergeCell ref="B13:C13"/>
    <mergeCell ref="A36:A39"/>
    <mergeCell ref="A40:A43"/>
    <mergeCell ref="A26:D26"/>
    <mergeCell ref="A29:A30"/>
    <mergeCell ref="B29:B30"/>
    <mergeCell ref="C29:D29"/>
    <mergeCell ref="A32:A35"/>
  </mergeCells>
  <printOptions horizontalCentered="1"/>
  <pageMargins left="1.1811023622047245" right="0.39370078740157483" top="0.78740157480314965" bottom="0.78740157480314965" header="0.51181102362204722" footer="0.51181102362204722"/>
  <pageSetup paperSize="9" scale="80" fitToHeight="0" orientation="portrait" r:id="rId1"/>
  <headerFooter differentFirst="1" alignWithMargins="0">
    <oddHeader>&amp;C&amp;"Times New Roman,обычный"&amp;12&amp;P</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pageSetUpPr fitToPage="1"/>
  </sheetPr>
  <dimension ref="A1:J26"/>
  <sheetViews>
    <sheetView topLeftCell="A22" zoomScale="80" zoomScaleNormal="80" zoomScaleSheetLayoutView="75" workbookViewId="0">
      <selection activeCell="P10" sqref="P10"/>
    </sheetView>
  </sheetViews>
  <sheetFormatPr defaultColWidth="9.109375" defaultRowHeight="18" x14ac:dyDescent="0.35"/>
  <cols>
    <col min="1" max="1" width="5.33203125" style="15" customWidth="1"/>
    <col min="2" max="2" width="7" style="15" customWidth="1"/>
    <col min="3" max="3" width="12.33203125" style="15" customWidth="1"/>
    <col min="4" max="4" width="18.109375" style="15" customWidth="1"/>
    <col min="5" max="5" width="7" style="15" customWidth="1"/>
    <col min="6" max="6" width="6.6640625" style="15" customWidth="1"/>
    <col min="7" max="7" width="7.6640625" style="15" customWidth="1"/>
    <col min="8" max="8" width="16.33203125" style="15" customWidth="1"/>
    <col min="9" max="9" width="20.109375" style="15" customWidth="1"/>
    <col min="10" max="10" width="14.44140625" style="15" customWidth="1"/>
    <col min="11" max="11" width="13" style="15" customWidth="1"/>
    <col min="12" max="16384" width="9.109375" style="15"/>
  </cols>
  <sheetData>
    <row r="1" spans="1:10" x14ac:dyDescent="0.35">
      <c r="J1" s="205" t="s">
        <v>582</v>
      </c>
    </row>
    <row r="2" spans="1:10" x14ac:dyDescent="0.35">
      <c r="J2" s="205" t="s">
        <v>695</v>
      </c>
    </row>
    <row r="6" spans="1:10" x14ac:dyDescent="0.35">
      <c r="A6" s="911" t="s">
        <v>267</v>
      </c>
      <c r="B6" s="912"/>
      <c r="C6" s="912"/>
      <c r="D6" s="912"/>
      <c r="E6" s="912"/>
      <c r="F6" s="912"/>
      <c r="G6" s="912"/>
      <c r="H6" s="912"/>
      <c r="I6" s="912"/>
      <c r="J6" s="912"/>
    </row>
    <row r="7" spans="1:10" x14ac:dyDescent="0.35">
      <c r="A7" s="911" t="s">
        <v>635</v>
      </c>
      <c r="B7" s="912"/>
      <c r="C7" s="912"/>
      <c r="D7" s="912"/>
      <c r="E7" s="912"/>
      <c r="F7" s="912"/>
      <c r="G7" s="912"/>
      <c r="H7" s="912"/>
      <c r="I7" s="912"/>
      <c r="J7" s="912"/>
    </row>
    <row r="8" spans="1:10" x14ac:dyDescent="0.35">
      <c r="A8" s="40"/>
      <c r="B8" s="40"/>
      <c r="C8" s="41"/>
      <c r="D8" s="41"/>
      <c r="E8" s="41"/>
      <c r="F8" s="41"/>
      <c r="G8" s="41"/>
      <c r="H8" s="41"/>
      <c r="I8" s="41"/>
      <c r="J8" s="41"/>
    </row>
    <row r="9" spans="1:10" ht="39" customHeight="1" x14ac:dyDescent="0.35">
      <c r="A9" s="913" t="s">
        <v>636</v>
      </c>
      <c r="B9" s="914"/>
      <c r="C9" s="914"/>
      <c r="D9" s="914"/>
      <c r="E9" s="914"/>
      <c r="F9" s="914"/>
      <c r="G9" s="914"/>
      <c r="H9" s="914"/>
      <c r="I9" s="914"/>
      <c r="J9" s="914"/>
    </row>
    <row r="10" spans="1:10" x14ac:dyDescent="0.35">
      <c r="A10" s="40"/>
      <c r="B10" s="40"/>
      <c r="C10" s="40"/>
      <c r="D10" s="40"/>
      <c r="E10" s="40"/>
      <c r="F10" s="40"/>
      <c r="G10" s="40"/>
      <c r="H10" s="40"/>
      <c r="I10" s="40"/>
      <c r="J10" s="40"/>
    </row>
    <row r="11" spans="1:10" ht="42" customHeight="1" x14ac:dyDescent="0.35">
      <c r="A11" s="918" t="s">
        <v>158</v>
      </c>
      <c r="B11" s="920" t="s">
        <v>557</v>
      </c>
      <c r="C11" s="921"/>
      <c r="D11" s="924" t="s">
        <v>457</v>
      </c>
      <c r="E11" s="926" t="s">
        <v>268</v>
      </c>
      <c r="F11" s="927"/>
      <c r="G11" s="928"/>
      <c r="H11" s="915" t="s">
        <v>498</v>
      </c>
      <c r="I11" s="916"/>
      <c r="J11" s="917"/>
    </row>
    <row r="12" spans="1:10" ht="180" x14ac:dyDescent="0.35">
      <c r="A12" s="919"/>
      <c r="B12" s="922"/>
      <c r="C12" s="923"/>
      <c r="D12" s="925"/>
      <c r="E12" s="576" t="s">
        <v>514</v>
      </c>
      <c r="F12" s="576" t="s">
        <v>578</v>
      </c>
      <c r="G12" s="349" t="s">
        <v>621</v>
      </c>
      <c r="H12" s="268" t="s">
        <v>458</v>
      </c>
      <c r="I12" s="268" t="s">
        <v>497</v>
      </c>
      <c r="J12" s="268" t="s">
        <v>269</v>
      </c>
    </row>
    <row r="13" spans="1:10" x14ac:dyDescent="0.35">
      <c r="A13" s="350">
        <v>1</v>
      </c>
      <c r="B13" s="909">
        <v>2</v>
      </c>
      <c r="C13" s="910"/>
      <c r="D13" s="350">
        <v>3</v>
      </c>
      <c r="E13" s="350">
        <v>4</v>
      </c>
      <c r="F13" s="350">
        <v>5</v>
      </c>
      <c r="G13" s="350">
        <v>6</v>
      </c>
      <c r="H13" s="350">
        <v>7</v>
      </c>
      <c r="I13" s="350">
        <v>8</v>
      </c>
      <c r="J13" s="350">
        <v>9</v>
      </c>
    </row>
    <row r="14" spans="1:10" x14ac:dyDescent="0.35">
      <c r="A14" s="42"/>
      <c r="B14" s="909" t="s">
        <v>270</v>
      </c>
      <c r="C14" s="910"/>
      <c r="D14" s="350" t="s">
        <v>270</v>
      </c>
      <c r="E14" s="350" t="s">
        <v>270</v>
      </c>
      <c r="F14" s="350" t="s">
        <v>270</v>
      </c>
      <c r="G14" s="350" t="s">
        <v>270</v>
      </c>
      <c r="H14" s="350" t="s">
        <v>270</v>
      </c>
      <c r="I14" s="350" t="s">
        <v>270</v>
      </c>
      <c r="J14" s="350" t="s">
        <v>270</v>
      </c>
    </row>
    <row r="15" spans="1:10" x14ac:dyDescent="0.35">
      <c r="A15" s="40"/>
      <c r="B15" s="40"/>
      <c r="C15" s="40"/>
      <c r="D15" s="40"/>
      <c r="E15" s="40"/>
      <c r="F15" s="40"/>
      <c r="G15" s="40"/>
      <c r="H15" s="40"/>
      <c r="I15" s="40"/>
      <c r="J15" s="40"/>
    </row>
    <row r="16" spans="1:10" ht="59.25" customHeight="1" x14ac:dyDescent="0.35">
      <c r="A16" s="913" t="s">
        <v>637</v>
      </c>
      <c r="B16" s="914"/>
      <c r="C16" s="914"/>
      <c r="D16" s="914"/>
      <c r="E16" s="914"/>
      <c r="F16" s="914"/>
      <c r="G16" s="914"/>
      <c r="H16" s="914"/>
      <c r="I16" s="914"/>
      <c r="J16" s="914"/>
    </row>
    <row r="17" spans="1:10" x14ac:dyDescent="0.35">
      <c r="A17" s="40"/>
      <c r="B17" s="40"/>
      <c r="C17" s="40"/>
      <c r="D17" s="40"/>
      <c r="E17" s="40"/>
      <c r="F17" s="40"/>
      <c r="G17" s="40"/>
      <c r="H17" s="40"/>
      <c r="I17" s="40"/>
      <c r="J17" s="40"/>
    </row>
    <row r="18" spans="1:10" ht="18" customHeight="1" x14ac:dyDescent="0.35">
      <c r="A18" s="920" t="s">
        <v>515</v>
      </c>
      <c r="B18" s="929"/>
      <c r="C18" s="929"/>
      <c r="D18" s="929"/>
      <c r="E18" s="929"/>
      <c r="F18" s="929"/>
      <c r="G18" s="929"/>
      <c r="H18" s="924" t="s">
        <v>516</v>
      </c>
      <c r="I18" s="932"/>
      <c r="J18" s="932"/>
    </row>
    <row r="19" spans="1:10" ht="59.25" customHeight="1" x14ac:dyDescent="0.35">
      <c r="A19" s="930"/>
      <c r="B19" s="931"/>
      <c r="C19" s="931"/>
      <c r="D19" s="931"/>
      <c r="E19" s="931"/>
      <c r="F19" s="931"/>
      <c r="G19" s="931"/>
      <c r="H19" s="576" t="s">
        <v>514</v>
      </c>
      <c r="I19" s="576" t="s">
        <v>578</v>
      </c>
      <c r="J19" s="349" t="s">
        <v>621</v>
      </c>
    </row>
    <row r="20" spans="1:10" x14ac:dyDescent="0.35">
      <c r="A20" s="933">
        <v>1</v>
      </c>
      <c r="B20" s="934"/>
      <c r="C20" s="934"/>
      <c r="D20" s="934"/>
      <c r="E20" s="934"/>
      <c r="F20" s="934"/>
      <c r="G20" s="934"/>
      <c r="H20" s="348">
        <v>2</v>
      </c>
      <c r="I20" s="348">
        <v>3</v>
      </c>
      <c r="J20" s="348">
        <v>4</v>
      </c>
    </row>
    <row r="21" spans="1:10" ht="58.95" customHeight="1" x14ac:dyDescent="0.35">
      <c r="A21" s="935" t="s">
        <v>538</v>
      </c>
      <c r="B21" s="936"/>
      <c r="C21" s="936"/>
      <c r="D21" s="936"/>
      <c r="E21" s="936"/>
      <c r="F21" s="936"/>
      <c r="G21" s="936"/>
      <c r="H21" s="350" t="s">
        <v>270</v>
      </c>
      <c r="I21" s="350" t="s">
        <v>270</v>
      </c>
      <c r="J21" s="350" t="s">
        <v>270</v>
      </c>
    </row>
    <row r="24" spans="1:10" x14ac:dyDescent="0.35">
      <c r="A24" s="344" t="s">
        <v>396</v>
      </c>
      <c r="B24" s="9"/>
      <c r="C24" s="10"/>
      <c r="D24" s="10"/>
      <c r="E24" s="10"/>
      <c r="F24" s="11"/>
      <c r="G24" s="12"/>
      <c r="H24" s="8"/>
      <c r="I24" s="7"/>
      <c r="J24" s="7"/>
    </row>
    <row r="25" spans="1:10" x14ac:dyDescent="0.35">
      <c r="A25" s="344" t="s">
        <v>397</v>
      </c>
      <c r="B25" s="9"/>
      <c r="C25" s="10"/>
      <c r="D25" s="7"/>
      <c r="E25" s="10"/>
      <c r="F25" s="11"/>
      <c r="G25" s="12"/>
      <c r="H25" s="8"/>
      <c r="I25" s="7"/>
      <c r="J25" s="7"/>
    </row>
    <row r="26" spans="1:10" ht="22.5" customHeight="1" x14ac:dyDescent="0.35">
      <c r="A26" s="345" t="s">
        <v>398</v>
      </c>
      <c r="B26" s="7"/>
      <c r="C26" s="7"/>
      <c r="D26" s="7"/>
      <c r="E26" s="10"/>
      <c r="F26" s="7"/>
      <c r="G26" s="7"/>
      <c r="H26" s="7"/>
      <c r="I26" s="7"/>
      <c r="J26" s="6" t="s">
        <v>409</v>
      </c>
    </row>
  </sheetData>
  <mergeCells count="15">
    <mergeCell ref="A16:J16"/>
    <mergeCell ref="A18:G19"/>
    <mergeCell ref="H18:J18"/>
    <mergeCell ref="A20:G20"/>
    <mergeCell ref="A21:G21"/>
    <mergeCell ref="B14:C14"/>
    <mergeCell ref="A6:J6"/>
    <mergeCell ref="A7:J7"/>
    <mergeCell ref="A9:J9"/>
    <mergeCell ref="H11:J11"/>
    <mergeCell ref="B13:C13"/>
    <mergeCell ref="A11:A12"/>
    <mergeCell ref="B11:C12"/>
    <mergeCell ref="D11:D12"/>
    <mergeCell ref="E11:G11"/>
  </mergeCells>
  <printOptions horizontalCentered="1"/>
  <pageMargins left="1.1811023622047245" right="0.39370078740157483" top="0.78740157480314965" bottom="0.78740157480314965" header="0.51181102362204722" footer="0.51181102362204722"/>
  <pageSetup paperSize="9" scale="74"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D31"/>
  <sheetViews>
    <sheetView topLeftCell="A7" zoomScaleNormal="100" zoomScaleSheetLayoutView="80" workbookViewId="0">
      <selection activeCell="F9" sqref="F9"/>
    </sheetView>
  </sheetViews>
  <sheetFormatPr defaultRowHeight="14.4" x14ac:dyDescent="0.3"/>
  <cols>
    <col min="1" max="1" width="4.88671875" customWidth="1"/>
    <col min="2" max="2" width="76" customWidth="1"/>
    <col min="3" max="3" width="12" customWidth="1"/>
    <col min="4" max="4" width="12.5546875" customWidth="1"/>
  </cols>
  <sheetData>
    <row r="1" spans="1:4" ht="18" x14ac:dyDescent="0.35">
      <c r="D1" s="205" t="s">
        <v>568</v>
      </c>
    </row>
    <row r="2" spans="1:4" ht="18" x14ac:dyDescent="0.35">
      <c r="D2" s="205" t="s">
        <v>695</v>
      </c>
    </row>
    <row r="4" spans="1:4" ht="18" x14ac:dyDescent="0.35">
      <c r="A4" s="5"/>
      <c r="B4" s="16"/>
      <c r="C4" s="16"/>
      <c r="D4" s="5"/>
    </row>
    <row r="5" spans="1:4" ht="18" x14ac:dyDescent="0.35">
      <c r="A5" s="5"/>
      <c r="B5" s="16"/>
      <c r="C5" s="16"/>
      <c r="D5" s="5"/>
    </row>
    <row r="6" spans="1:4" ht="14.4" customHeight="1" x14ac:dyDescent="0.3">
      <c r="A6" s="940" t="s">
        <v>499</v>
      </c>
      <c r="B6" s="941"/>
      <c r="C6" s="941"/>
      <c r="D6" s="941"/>
    </row>
    <row r="7" spans="1:4" ht="16.95" customHeight="1" x14ac:dyDescent="0.3">
      <c r="A7" s="940" t="s">
        <v>632</v>
      </c>
      <c r="B7" s="942"/>
      <c r="C7" s="942"/>
      <c r="D7" s="942"/>
    </row>
    <row r="8" spans="1:4" ht="18" x14ac:dyDescent="0.35">
      <c r="A8" s="29"/>
      <c r="B8" s="30"/>
      <c r="C8" s="30"/>
      <c r="D8" s="28"/>
    </row>
    <row r="9" spans="1:4" ht="39" customHeight="1" x14ac:dyDescent="0.35">
      <c r="A9" s="943" t="s">
        <v>638</v>
      </c>
      <c r="B9" s="944"/>
      <c r="C9" s="944"/>
      <c r="D9" s="944"/>
    </row>
    <row r="10" spans="1:4" ht="18" x14ac:dyDescent="0.35">
      <c r="A10" s="29"/>
      <c r="B10" s="30"/>
      <c r="C10" s="30"/>
      <c r="D10" s="28"/>
    </row>
    <row r="11" spans="1:4" ht="15.6" x14ac:dyDescent="0.3">
      <c r="A11" s="29"/>
      <c r="B11" s="30"/>
      <c r="C11" s="30"/>
      <c r="D11" s="31"/>
    </row>
    <row r="12" spans="1:4" ht="36" x14ac:dyDescent="0.3">
      <c r="A12" s="32" t="s">
        <v>255</v>
      </c>
      <c r="B12" s="33" t="s">
        <v>386</v>
      </c>
      <c r="C12" s="34"/>
      <c r="D12" s="34" t="s">
        <v>265</v>
      </c>
    </row>
    <row r="13" spans="1:4" ht="18" x14ac:dyDescent="0.3">
      <c r="A13" s="32">
        <v>1</v>
      </c>
      <c r="B13" s="32">
        <v>2</v>
      </c>
      <c r="C13" s="35"/>
      <c r="D13" s="351">
        <v>3</v>
      </c>
    </row>
    <row r="14" spans="1:4" ht="72" x14ac:dyDescent="0.35">
      <c r="A14" s="945" t="s">
        <v>256</v>
      </c>
      <c r="B14" s="36" t="s">
        <v>500</v>
      </c>
      <c r="C14" s="269"/>
      <c r="D14" s="270"/>
    </row>
    <row r="15" spans="1:4" ht="18" x14ac:dyDescent="0.35">
      <c r="A15" s="946"/>
      <c r="B15" s="37" t="s">
        <v>496</v>
      </c>
      <c r="C15" s="271"/>
      <c r="D15" s="272" t="s">
        <v>270</v>
      </c>
    </row>
    <row r="16" spans="1:4" ht="18" x14ac:dyDescent="0.35">
      <c r="A16" s="946"/>
      <c r="B16" s="38" t="s">
        <v>266</v>
      </c>
      <c r="C16" s="273"/>
      <c r="D16" s="121" t="s">
        <v>270</v>
      </c>
    </row>
    <row r="17" spans="1:4" ht="18" x14ac:dyDescent="0.35">
      <c r="A17" s="28"/>
      <c r="B17" s="346"/>
      <c r="C17" s="346"/>
      <c r="D17" s="39"/>
    </row>
    <row r="18" spans="1:4" ht="43.5" customHeight="1" x14ac:dyDescent="0.35">
      <c r="A18" s="947" t="s">
        <v>639</v>
      </c>
      <c r="B18" s="948"/>
      <c r="C18" s="948"/>
      <c r="D18" s="948"/>
    </row>
    <row r="19" spans="1:4" ht="18" x14ac:dyDescent="0.35">
      <c r="A19" s="29"/>
      <c r="B19" s="30"/>
      <c r="C19" s="30"/>
      <c r="D19" s="28"/>
    </row>
    <row r="20" spans="1:4" ht="15.6" x14ac:dyDescent="0.3">
      <c r="A20" s="29"/>
      <c r="B20" s="30"/>
      <c r="C20" s="30"/>
      <c r="D20" s="31"/>
    </row>
    <row r="21" spans="1:4" ht="18" customHeight="1" x14ac:dyDescent="0.35">
      <c r="A21" s="949" t="s">
        <v>255</v>
      </c>
      <c r="B21" s="951" t="s">
        <v>386</v>
      </c>
      <c r="C21" s="952" t="s">
        <v>265</v>
      </c>
      <c r="D21" s="952"/>
    </row>
    <row r="22" spans="1:4" ht="18" x14ac:dyDescent="0.3">
      <c r="A22" s="950"/>
      <c r="B22" s="951"/>
      <c r="C22" s="347" t="s">
        <v>578</v>
      </c>
      <c r="D22" s="347" t="s">
        <v>621</v>
      </c>
    </row>
    <row r="23" spans="1:4" ht="18" x14ac:dyDescent="0.3">
      <c r="A23" s="347">
        <v>1</v>
      </c>
      <c r="B23" s="347">
        <v>2</v>
      </c>
      <c r="C23" s="351">
        <v>3</v>
      </c>
      <c r="D23" s="351">
        <v>4</v>
      </c>
    </row>
    <row r="24" spans="1:4" ht="72" x14ac:dyDescent="0.35">
      <c r="A24" s="937" t="s">
        <v>256</v>
      </c>
      <c r="B24" s="36" t="s">
        <v>500</v>
      </c>
      <c r="C24" s="43"/>
      <c r="D24" s="274"/>
    </row>
    <row r="25" spans="1:4" ht="18" x14ac:dyDescent="0.35">
      <c r="A25" s="938"/>
      <c r="B25" s="37" t="s">
        <v>496</v>
      </c>
      <c r="C25" s="44" t="s">
        <v>270</v>
      </c>
      <c r="D25" s="275" t="s">
        <v>270</v>
      </c>
    </row>
    <row r="26" spans="1:4" ht="18" x14ac:dyDescent="0.35">
      <c r="A26" s="939"/>
      <c r="B26" s="38" t="s">
        <v>266</v>
      </c>
      <c r="C26" s="45" t="s">
        <v>270</v>
      </c>
      <c r="D26" s="276" t="s">
        <v>270</v>
      </c>
    </row>
    <row r="27" spans="1:4" ht="18" x14ac:dyDescent="0.35">
      <c r="A27" s="24"/>
      <c r="B27" s="25"/>
      <c r="C27" s="25"/>
      <c r="D27" s="26"/>
    </row>
    <row r="28" spans="1:4" ht="18" x14ac:dyDescent="0.35">
      <c r="A28" s="5"/>
      <c r="B28" s="16"/>
      <c r="C28" s="16"/>
      <c r="D28" s="5"/>
    </row>
    <row r="29" spans="1:4" ht="18" x14ac:dyDescent="0.35">
      <c r="A29" s="344" t="s">
        <v>396</v>
      </c>
      <c r="B29" s="9"/>
      <c r="C29" s="10"/>
      <c r="D29" s="10"/>
    </row>
    <row r="30" spans="1:4" ht="18" x14ac:dyDescent="0.35">
      <c r="A30" s="344" t="s">
        <v>397</v>
      </c>
      <c r="B30" s="9"/>
      <c r="C30" s="10"/>
      <c r="D30" s="7"/>
    </row>
    <row r="31" spans="1:4" ht="18" x14ac:dyDescent="0.35">
      <c r="A31" s="345" t="s">
        <v>398</v>
      </c>
      <c r="B31" s="7"/>
      <c r="C31" s="7"/>
      <c r="D31" s="6" t="s">
        <v>409</v>
      </c>
    </row>
  </sheetData>
  <mergeCells count="9">
    <mergeCell ref="A24:A26"/>
    <mergeCell ref="A6:D6"/>
    <mergeCell ref="A7:D7"/>
    <mergeCell ref="A9:D9"/>
    <mergeCell ref="A14:A16"/>
    <mergeCell ref="A18:D18"/>
    <mergeCell ref="A21:A22"/>
    <mergeCell ref="B21:B22"/>
    <mergeCell ref="C21:D21"/>
  </mergeCells>
  <pageMargins left="1.1811023622047245" right="0.39370078740157483" top="0.78740157480314965" bottom="0.78740157480314965" header="0.31496062992125984" footer="0.31496062992125984"/>
  <pageSetup paperSize="9" scale="80"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J26"/>
  <sheetViews>
    <sheetView zoomScale="90" zoomScaleNormal="90" workbookViewId="0">
      <selection activeCell="L9" sqref="L9"/>
    </sheetView>
  </sheetViews>
  <sheetFormatPr defaultRowHeight="14.4" x14ac:dyDescent="0.3"/>
  <cols>
    <col min="1" max="1" width="5.33203125" customWidth="1"/>
    <col min="2" max="2" width="7" customWidth="1"/>
    <col min="3" max="3" width="11.33203125" customWidth="1"/>
    <col min="4" max="4" width="18.109375" customWidth="1"/>
    <col min="5" max="5" width="7" customWidth="1"/>
    <col min="6" max="6" width="8" customWidth="1"/>
    <col min="7" max="7" width="7.6640625" customWidth="1"/>
    <col min="8" max="8" width="16.33203125" customWidth="1"/>
    <col min="9" max="9" width="20.109375" customWidth="1"/>
    <col min="10" max="10" width="14.44140625" customWidth="1"/>
  </cols>
  <sheetData>
    <row r="1" spans="1:10" ht="18" x14ac:dyDescent="0.35">
      <c r="J1" s="205" t="s">
        <v>533</v>
      </c>
    </row>
    <row r="2" spans="1:10" ht="18" x14ac:dyDescent="0.35">
      <c r="J2" s="205" t="s">
        <v>695</v>
      </c>
    </row>
    <row r="4" spans="1:10" ht="18" x14ac:dyDescent="0.35">
      <c r="A4" s="15"/>
      <c r="B4" s="15"/>
      <c r="C4" s="15"/>
      <c r="D4" s="15"/>
      <c r="E4" s="15"/>
      <c r="F4" s="15"/>
      <c r="G4" s="15"/>
      <c r="H4" s="15"/>
      <c r="I4" s="15"/>
      <c r="J4" s="15"/>
    </row>
    <row r="5" spans="1:10" ht="18" x14ac:dyDescent="0.35">
      <c r="A5" s="15"/>
      <c r="B5" s="15"/>
      <c r="C5" s="15"/>
      <c r="D5" s="15"/>
      <c r="E5" s="15"/>
      <c r="F5" s="15"/>
      <c r="G5" s="15"/>
      <c r="H5" s="15"/>
      <c r="I5" s="15"/>
      <c r="J5" s="15"/>
    </row>
    <row r="6" spans="1:10" ht="17.399999999999999" x14ac:dyDescent="0.3">
      <c r="A6" s="911" t="s">
        <v>267</v>
      </c>
      <c r="B6" s="912"/>
      <c r="C6" s="912"/>
      <c r="D6" s="912"/>
      <c r="E6" s="912"/>
      <c r="F6" s="912"/>
      <c r="G6" s="912"/>
      <c r="H6" s="912"/>
      <c r="I6" s="912"/>
      <c r="J6" s="912"/>
    </row>
    <row r="7" spans="1:10" ht="17.399999999999999" x14ac:dyDescent="0.3">
      <c r="A7" s="911" t="s">
        <v>640</v>
      </c>
      <c r="B7" s="912"/>
      <c r="C7" s="912"/>
      <c r="D7" s="912"/>
      <c r="E7" s="912"/>
      <c r="F7" s="912"/>
      <c r="G7" s="912"/>
      <c r="H7" s="912"/>
      <c r="I7" s="912"/>
      <c r="J7" s="912"/>
    </row>
    <row r="8" spans="1:10" ht="18" x14ac:dyDescent="0.35">
      <c r="A8" s="40"/>
      <c r="B8" s="40"/>
      <c r="C8" s="41"/>
      <c r="D8" s="41"/>
      <c r="E8" s="41"/>
      <c r="F8" s="41"/>
      <c r="G8" s="41"/>
      <c r="H8" s="41"/>
      <c r="I8" s="41"/>
      <c r="J8" s="41"/>
    </row>
    <row r="9" spans="1:10" ht="42.75" customHeight="1" x14ac:dyDescent="0.35">
      <c r="A9" s="913" t="s">
        <v>636</v>
      </c>
      <c r="B9" s="914"/>
      <c r="C9" s="914"/>
      <c r="D9" s="914"/>
      <c r="E9" s="914"/>
      <c r="F9" s="914"/>
      <c r="G9" s="914"/>
      <c r="H9" s="914"/>
      <c r="I9" s="914"/>
      <c r="J9" s="914"/>
    </row>
    <row r="10" spans="1:10" ht="18" x14ac:dyDescent="0.35">
      <c r="A10" s="40"/>
      <c r="B10" s="40"/>
      <c r="C10" s="40"/>
      <c r="D10" s="40"/>
      <c r="E10" s="40"/>
      <c r="F10" s="40"/>
      <c r="G10" s="40"/>
      <c r="H10" s="40"/>
      <c r="I10" s="40"/>
      <c r="J10" s="40"/>
    </row>
    <row r="11" spans="1:10" ht="36.75" customHeight="1" x14ac:dyDescent="0.3">
      <c r="A11" s="918" t="s">
        <v>158</v>
      </c>
      <c r="B11" s="920" t="s">
        <v>557</v>
      </c>
      <c r="C11" s="921"/>
      <c r="D11" s="924" t="s">
        <v>457</v>
      </c>
      <c r="E11" s="915" t="s">
        <v>501</v>
      </c>
      <c r="F11" s="954"/>
      <c r="G11" s="955"/>
      <c r="H11" s="915" t="s">
        <v>498</v>
      </c>
      <c r="I11" s="916"/>
      <c r="J11" s="917"/>
    </row>
    <row r="12" spans="1:10" ht="201.75" customHeight="1" x14ac:dyDescent="0.3">
      <c r="A12" s="919"/>
      <c r="B12" s="922"/>
      <c r="C12" s="923"/>
      <c r="D12" s="925"/>
      <c r="E12" s="576" t="s">
        <v>514</v>
      </c>
      <c r="F12" s="576" t="s">
        <v>578</v>
      </c>
      <c r="G12" s="349" t="s">
        <v>621</v>
      </c>
      <c r="H12" s="268" t="s">
        <v>458</v>
      </c>
      <c r="I12" s="268" t="s">
        <v>497</v>
      </c>
      <c r="J12" s="268" t="s">
        <v>269</v>
      </c>
    </row>
    <row r="13" spans="1:10" ht="18" x14ac:dyDescent="0.35">
      <c r="A13" s="350">
        <v>1</v>
      </c>
      <c r="B13" s="909">
        <v>2</v>
      </c>
      <c r="C13" s="910"/>
      <c r="D13" s="350">
        <v>3</v>
      </c>
      <c r="E13" s="350">
        <v>4</v>
      </c>
      <c r="F13" s="350">
        <v>5</v>
      </c>
      <c r="G13" s="350">
        <v>6</v>
      </c>
      <c r="H13" s="350">
        <v>7</v>
      </c>
      <c r="I13" s="350">
        <v>8</v>
      </c>
      <c r="J13" s="350">
        <v>9</v>
      </c>
    </row>
    <row r="14" spans="1:10" ht="18" x14ac:dyDescent="0.35">
      <c r="A14" s="42"/>
      <c r="B14" s="909" t="s">
        <v>270</v>
      </c>
      <c r="C14" s="910"/>
      <c r="D14" s="350" t="s">
        <v>270</v>
      </c>
      <c r="E14" s="350" t="s">
        <v>270</v>
      </c>
      <c r="F14" s="350" t="s">
        <v>270</v>
      </c>
      <c r="G14" s="350" t="s">
        <v>270</v>
      </c>
      <c r="H14" s="350" t="s">
        <v>270</v>
      </c>
      <c r="I14" s="350" t="s">
        <v>270</v>
      </c>
      <c r="J14" s="350" t="s">
        <v>270</v>
      </c>
    </row>
    <row r="15" spans="1:10" ht="18" x14ac:dyDescent="0.35">
      <c r="A15" s="40"/>
      <c r="B15" s="40"/>
      <c r="C15" s="40"/>
      <c r="D15" s="40"/>
      <c r="E15" s="40"/>
      <c r="F15" s="40"/>
      <c r="G15" s="40"/>
      <c r="H15" s="40"/>
      <c r="I15" s="40"/>
      <c r="J15" s="40"/>
    </row>
    <row r="16" spans="1:10" ht="57.75" customHeight="1" x14ac:dyDescent="0.35">
      <c r="A16" s="913" t="s">
        <v>637</v>
      </c>
      <c r="B16" s="914"/>
      <c r="C16" s="914"/>
      <c r="D16" s="914"/>
      <c r="E16" s="914"/>
      <c r="F16" s="914"/>
      <c r="G16" s="914"/>
      <c r="H16" s="914"/>
      <c r="I16" s="914"/>
      <c r="J16" s="914"/>
    </row>
    <row r="17" spans="1:10" ht="18" x14ac:dyDescent="0.35">
      <c r="A17" s="40"/>
      <c r="B17" s="40"/>
      <c r="C17" s="40"/>
      <c r="D17" s="40"/>
      <c r="E17" s="40"/>
      <c r="F17" s="40"/>
      <c r="G17" s="40"/>
      <c r="H17" s="40"/>
      <c r="I17" s="40"/>
      <c r="J17" s="40"/>
    </row>
    <row r="18" spans="1:10" ht="18" customHeight="1" x14ac:dyDescent="0.35">
      <c r="A18" s="920" t="s">
        <v>515</v>
      </c>
      <c r="B18" s="929"/>
      <c r="C18" s="929"/>
      <c r="D18" s="929"/>
      <c r="E18" s="929"/>
      <c r="F18" s="929"/>
      <c r="G18" s="929"/>
      <c r="H18" s="933" t="s">
        <v>517</v>
      </c>
      <c r="I18" s="953"/>
      <c r="J18" s="953"/>
    </row>
    <row r="19" spans="1:10" ht="56.25" customHeight="1" x14ac:dyDescent="0.3">
      <c r="A19" s="930"/>
      <c r="B19" s="931"/>
      <c r="C19" s="931"/>
      <c r="D19" s="931"/>
      <c r="E19" s="931"/>
      <c r="F19" s="931"/>
      <c r="G19" s="931"/>
      <c r="H19" s="576" t="s">
        <v>514</v>
      </c>
      <c r="I19" s="576" t="s">
        <v>578</v>
      </c>
      <c r="J19" s="349" t="s">
        <v>621</v>
      </c>
    </row>
    <row r="20" spans="1:10" ht="18" x14ac:dyDescent="0.3">
      <c r="A20" s="933">
        <v>1</v>
      </c>
      <c r="B20" s="934"/>
      <c r="C20" s="934"/>
      <c r="D20" s="934"/>
      <c r="E20" s="934"/>
      <c r="F20" s="934"/>
      <c r="G20" s="934"/>
      <c r="H20" s="348">
        <v>2</v>
      </c>
      <c r="I20" s="348">
        <v>3</v>
      </c>
      <c r="J20" s="348">
        <v>4</v>
      </c>
    </row>
    <row r="21" spans="1:10" ht="39.75" customHeight="1" x14ac:dyDescent="0.35">
      <c r="A21" s="935" t="s">
        <v>538</v>
      </c>
      <c r="B21" s="936"/>
      <c r="C21" s="936"/>
      <c r="D21" s="936"/>
      <c r="E21" s="936"/>
      <c r="F21" s="936"/>
      <c r="G21" s="936"/>
      <c r="H21" s="350" t="s">
        <v>270</v>
      </c>
      <c r="I21" s="350" t="s">
        <v>270</v>
      </c>
      <c r="J21" s="350" t="s">
        <v>270</v>
      </c>
    </row>
    <row r="22" spans="1:10" ht="18" x14ac:dyDescent="0.35">
      <c r="A22" s="15"/>
      <c r="B22" s="15"/>
      <c r="C22" s="15"/>
      <c r="D22" s="15"/>
      <c r="E22" s="15"/>
      <c r="F22" s="15"/>
      <c r="G22" s="15"/>
      <c r="H22" s="15"/>
      <c r="I22" s="15"/>
      <c r="J22" s="15"/>
    </row>
    <row r="23" spans="1:10" ht="18" x14ac:dyDescent="0.35">
      <c r="A23" s="15"/>
      <c r="B23" s="15"/>
      <c r="C23" s="15"/>
      <c r="D23" s="15"/>
      <c r="E23" s="15"/>
      <c r="F23" s="15"/>
      <c r="G23" s="15"/>
      <c r="H23" s="15"/>
      <c r="I23" s="15"/>
      <c r="J23" s="15"/>
    </row>
    <row r="24" spans="1:10" ht="18" x14ac:dyDescent="0.35">
      <c r="A24" s="344" t="s">
        <v>396</v>
      </c>
      <c r="B24" s="9"/>
      <c r="C24" s="10"/>
      <c r="D24" s="10"/>
      <c r="E24" s="10"/>
      <c r="F24" s="11"/>
      <c r="G24" s="12"/>
      <c r="H24" s="8"/>
      <c r="I24" s="7"/>
      <c r="J24" s="7"/>
    </row>
    <row r="25" spans="1:10" ht="18" x14ac:dyDescent="0.35">
      <c r="A25" s="344" t="s">
        <v>397</v>
      </c>
      <c r="B25" s="9"/>
      <c r="C25" s="10"/>
      <c r="D25" s="7"/>
      <c r="E25" s="10"/>
      <c r="F25" s="11"/>
      <c r="G25" s="12"/>
      <c r="H25" s="8"/>
      <c r="I25" s="7"/>
      <c r="J25" s="7"/>
    </row>
    <row r="26" spans="1:10" ht="18" x14ac:dyDescent="0.35">
      <c r="A26" s="345" t="s">
        <v>398</v>
      </c>
      <c r="B26" s="7"/>
      <c r="C26" s="7"/>
      <c r="D26" s="7"/>
      <c r="E26" s="10"/>
      <c r="F26" s="7"/>
      <c r="G26" s="7"/>
      <c r="H26" s="7"/>
      <c r="I26" s="7"/>
      <c r="J26" s="6" t="s">
        <v>409</v>
      </c>
    </row>
  </sheetData>
  <mergeCells count="15">
    <mergeCell ref="A6:J6"/>
    <mergeCell ref="A7:J7"/>
    <mergeCell ref="A9:J9"/>
    <mergeCell ref="A11:A12"/>
    <mergeCell ref="B11:C12"/>
    <mergeCell ref="D11:D12"/>
    <mergeCell ref="E11:G11"/>
    <mergeCell ref="H11:J11"/>
    <mergeCell ref="A21:G21"/>
    <mergeCell ref="B13:C13"/>
    <mergeCell ref="B14:C14"/>
    <mergeCell ref="A16:J16"/>
    <mergeCell ref="A18:G19"/>
    <mergeCell ref="H18:J18"/>
    <mergeCell ref="A20:G20"/>
  </mergeCells>
  <pageMargins left="1.1811023622047245" right="0.39370078740157483" top="0.39370078740157483" bottom="0.39370078740157483" header="0.31496062992125984" footer="0.31496062992125984"/>
  <pageSetup paperSize="9"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M413"/>
  <sheetViews>
    <sheetView zoomScale="80" zoomScaleNormal="80" zoomScaleSheetLayoutView="80" workbookViewId="0">
      <selection activeCell="I7" sqref="I7"/>
    </sheetView>
  </sheetViews>
  <sheetFormatPr defaultColWidth="8.88671875" defaultRowHeight="18" x14ac:dyDescent="0.35"/>
  <cols>
    <col min="1" max="1" width="28.109375" style="106" customWidth="1"/>
    <col min="2" max="2" width="72.6640625" style="106" customWidth="1"/>
    <col min="3" max="3" width="15" style="105" customWidth="1"/>
    <col min="4" max="4" width="11.88671875" style="91" hidden="1" customWidth="1"/>
    <col min="5" max="5" width="7.6640625" style="79" hidden="1" customWidth="1"/>
    <col min="6" max="7" width="0" style="79" hidden="1" customWidth="1"/>
    <col min="8" max="16384" width="8.88671875" style="79"/>
  </cols>
  <sheetData>
    <row r="1" spans="1:4" s="242" customFormat="1" x14ac:dyDescent="0.35">
      <c r="B1" s="316"/>
      <c r="C1" s="84" t="s">
        <v>524</v>
      </c>
    </row>
    <row r="2" spans="1:4" s="242" customFormat="1" x14ac:dyDescent="0.35">
      <c r="B2" s="316"/>
      <c r="C2" s="205" t="s">
        <v>695</v>
      </c>
    </row>
    <row r="3" spans="1:4" s="242" customFormat="1" x14ac:dyDescent="0.35">
      <c r="B3" s="316"/>
      <c r="C3" s="205"/>
    </row>
    <row r="5" spans="1:4" ht="15.75" customHeight="1" x14ac:dyDescent="0.35"/>
    <row r="6" spans="1:4" ht="44.25" customHeight="1" x14ac:dyDescent="0.35">
      <c r="A6" s="811" t="s">
        <v>651</v>
      </c>
      <c r="B6" s="811"/>
      <c r="C6" s="811"/>
    </row>
    <row r="7" spans="1:4" x14ac:dyDescent="0.35">
      <c r="A7" s="107"/>
      <c r="B7" s="107"/>
      <c r="C7" s="92"/>
    </row>
    <row r="8" spans="1:4" x14ac:dyDescent="0.35">
      <c r="C8" s="93" t="s">
        <v>21</v>
      </c>
    </row>
    <row r="9" spans="1:4" x14ac:dyDescent="0.35">
      <c r="A9" s="83" t="s">
        <v>13</v>
      </c>
      <c r="B9" s="83" t="s">
        <v>14</v>
      </c>
      <c r="C9" s="94" t="s">
        <v>15</v>
      </c>
    </row>
    <row r="10" spans="1:4" x14ac:dyDescent="0.35">
      <c r="A10" s="83">
        <v>1</v>
      </c>
      <c r="B10" s="83">
        <v>2</v>
      </c>
      <c r="C10" s="96">
        <v>3</v>
      </c>
    </row>
    <row r="11" spans="1:4" ht="23.4" customHeight="1" x14ac:dyDescent="0.35">
      <c r="A11" s="85" t="s">
        <v>16</v>
      </c>
      <c r="B11" s="97" t="s">
        <v>325</v>
      </c>
      <c r="C11" s="98">
        <f>C12</f>
        <v>1630880.0999999999</v>
      </c>
      <c r="D11" s="244"/>
    </row>
    <row r="12" spans="1:4" ht="38.4" customHeight="1" x14ac:dyDescent="0.35">
      <c r="A12" s="83" t="s">
        <v>17</v>
      </c>
      <c r="B12" s="108" t="s">
        <v>18</v>
      </c>
      <c r="C12" s="111">
        <f>C13+C40+C18+C70</f>
        <v>1630880.0999999999</v>
      </c>
      <c r="D12" s="244"/>
    </row>
    <row r="13" spans="1:4" ht="22.2" customHeight="1" x14ac:dyDescent="0.35">
      <c r="A13" s="83" t="s">
        <v>418</v>
      </c>
      <c r="B13" s="108" t="s">
        <v>360</v>
      </c>
      <c r="C13" s="111">
        <f>C14+C16</f>
        <v>278356.3</v>
      </c>
      <c r="D13" s="244"/>
    </row>
    <row r="14" spans="1:4" ht="21.6" customHeight="1" x14ac:dyDescent="0.35">
      <c r="A14" s="83" t="s">
        <v>419</v>
      </c>
      <c r="B14" s="108" t="s">
        <v>19</v>
      </c>
      <c r="C14" s="111">
        <f>C15</f>
        <v>251413.9</v>
      </c>
      <c r="D14" s="244"/>
    </row>
    <row r="15" spans="1:4" ht="54.75" customHeight="1" x14ac:dyDescent="0.35">
      <c r="A15" s="83" t="s">
        <v>415</v>
      </c>
      <c r="B15" s="108" t="s">
        <v>448</v>
      </c>
      <c r="C15" s="111">
        <v>251413.9</v>
      </c>
      <c r="D15" s="244"/>
    </row>
    <row r="16" spans="1:4" x14ac:dyDescent="0.35">
      <c r="A16" s="83" t="s">
        <v>740</v>
      </c>
      <c r="B16" s="108" t="s">
        <v>741</v>
      </c>
      <c r="C16" s="111">
        <f>C17</f>
        <v>26942.400000000001</v>
      </c>
      <c r="D16" s="244"/>
    </row>
    <row r="17" spans="1:4" x14ac:dyDescent="0.35">
      <c r="A17" s="83" t="s">
        <v>742</v>
      </c>
      <c r="B17" s="108" t="s">
        <v>743</v>
      </c>
      <c r="C17" s="111">
        <v>26942.400000000001</v>
      </c>
      <c r="D17" s="244"/>
    </row>
    <row r="18" spans="1:4" ht="39.6" customHeight="1" x14ac:dyDescent="0.35">
      <c r="A18" s="83" t="s">
        <v>420</v>
      </c>
      <c r="B18" s="109" t="s">
        <v>390</v>
      </c>
      <c r="C18" s="111">
        <f>C19+C31+C25+C23+C28</f>
        <v>283407.59999999998</v>
      </c>
      <c r="D18" s="244"/>
    </row>
    <row r="19" spans="1:4" ht="34.5" customHeight="1" x14ac:dyDescent="0.35">
      <c r="A19" s="83" t="s">
        <v>438</v>
      </c>
      <c r="B19" s="109" t="s">
        <v>439</v>
      </c>
      <c r="C19" s="111">
        <f>C20</f>
        <v>169098.2</v>
      </c>
      <c r="D19" s="244"/>
    </row>
    <row r="20" spans="1:4" ht="56.4" customHeight="1" x14ac:dyDescent="0.35">
      <c r="A20" s="83" t="s">
        <v>436</v>
      </c>
      <c r="B20" s="109" t="s">
        <v>437</v>
      </c>
      <c r="C20" s="111">
        <f>SUM(C21:C22)</f>
        <v>169098.2</v>
      </c>
      <c r="D20" s="244"/>
    </row>
    <row r="21" spans="1:4" ht="54" x14ac:dyDescent="0.35">
      <c r="A21" s="83"/>
      <c r="B21" s="282" t="s">
        <v>483</v>
      </c>
      <c r="C21" s="743">
        <v>92202.2</v>
      </c>
      <c r="D21" s="244">
        <v>921</v>
      </c>
    </row>
    <row r="22" spans="1:4" ht="126" x14ac:dyDescent="0.35">
      <c r="A22" s="82"/>
      <c r="B22" s="282" t="s">
        <v>758</v>
      </c>
      <c r="C22" s="744">
        <f>60052+16844</f>
        <v>76896</v>
      </c>
      <c r="D22" s="244">
        <v>921</v>
      </c>
    </row>
    <row r="23" spans="1:4" s="91" customFormat="1" ht="75" customHeight="1" x14ac:dyDescent="0.35">
      <c r="A23" s="82" t="s">
        <v>477</v>
      </c>
      <c r="B23" s="109" t="s">
        <v>480</v>
      </c>
      <c r="C23" s="111">
        <f>C24</f>
        <v>64014.5</v>
      </c>
      <c r="D23" s="244"/>
    </row>
    <row r="24" spans="1:4" s="91" customFormat="1" ht="72" x14ac:dyDescent="0.35">
      <c r="A24" s="82" t="s">
        <v>473</v>
      </c>
      <c r="B24" s="109" t="s">
        <v>474</v>
      </c>
      <c r="C24" s="111">
        <v>64014.5</v>
      </c>
      <c r="D24" s="244">
        <v>925</v>
      </c>
    </row>
    <row r="25" spans="1:4" s="91" customFormat="1" x14ac:dyDescent="0.35">
      <c r="A25" s="82" t="s">
        <v>573</v>
      </c>
      <c r="B25" s="109" t="s">
        <v>574</v>
      </c>
      <c r="C25" s="111">
        <f>C26</f>
        <v>395.1</v>
      </c>
      <c r="D25" s="244">
        <v>926</v>
      </c>
    </row>
    <row r="26" spans="1:4" s="91" customFormat="1" ht="36" customHeight="1" x14ac:dyDescent="0.35">
      <c r="A26" s="82" t="s">
        <v>572</v>
      </c>
      <c r="B26" s="109" t="s">
        <v>575</v>
      </c>
      <c r="C26" s="111">
        <f>C27</f>
        <v>395.1</v>
      </c>
      <c r="D26" s="244"/>
    </row>
    <row r="27" spans="1:4" s="91" customFormat="1" ht="54" x14ac:dyDescent="0.35">
      <c r="A27" s="82"/>
      <c r="B27" s="283" t="s">
        <v>576</v>
      </c>
      <c r="C27" s="743">
        <v>395.1</v>
      </c>
      <c r="D27" s="244"/>
    </row>
    <row r="28" spans="1:4" s="91" customFormat="1" ht="54" x14ac:dyDescent="0.35">
      <c r="A28" s="82" t="s">
        <v>719</v>
      </c>
      <c r="B28" s="109" t="s">
        <v>720</v>
      </c>
      <c r="C28" s="111">
        <f>C29</f>
        <v>518.6</v>
      </c>
      <c r="D28" s="244"/>
    </row>
    <row r="29" spans="1:4" s="91" customFormat="1" ht="36" x14ac:dyDescent="0.35">
      <c r="A29" s="82" t="s">
        <v>721</v>
      </c>
      <c r="B29" s="109" t="s">
        <v>722</v>
      </c>
      <c r="C29" s="111">
        <f>C30</f>
        <v>518.6</v>
      </c>
      <c r="D29" s="244"/>
    </row>
    <row r="30" spans="1:4" s="91" customFormat="1" ht="126" x14ac:dyDescent="0.35">
      <c r="A30" s="82"/>
      <c r="B30" s="283" t="s">
        <v>723</v>
      </c>
      <c r="C30" s="111">
        <v>518.6</v>
      </c>
      <c r="D30" s="244"/>
    </row>
    <row r="31" spans="1:4" ht="17.25" customHeight="1" x14ac:dyDescent="0.35">
      <c r="A31" s="82" t="s">
        <v>421</v>
      </c>
      <c r="B31" s="109" t="s">
        <v>319</v>
      </c>
      <c r="C31" s="111">
        <f>C32</f>
        <v>49381.2</v>
      </c>
      <c r="D31" s="244"/>
    </row>
    <row r="32" spans="1:4" x14ac:dyDescent="0.35">
      <c r="A32" s="82" t="s">
        <v>412</v>
      </c>
      <c r="B32" s="109" t="s">
        <v>584</v>
      </c>
      <c r="C32" s="111">
        <f>SUM(C33:C39)</f>
        <v>49381.2</v>
      </c>
      <c r="D32" s="244"/>
    </row>
    <row r="33" spans="1:4" ht="234" x14ac:dyDescent="0.35">
      <c r="A33" s="99"/>
      <c r="B33" s="282" t="s">
        <v>675</v>
      </c>
      <c r="C33" s="743">
        <v>40</v>
      </c>
      <c r="D33" s="114">
        <v>926</v>
      </c>
    </row>
    <row r="34" spans="1:4" ht="153" customHeight="1" x14ac:dyDescent="0.35">
      <c r="A34" s="99"/>
      <c r="B34" s="282" t="s">
        <v>668</v>
      </c>
      <c r="C34" s="743">
        <v>5473.7</v>
      </c>
      <c r="D34" s="114">
        <v>926</v>
      </c>
    </row>
    <row r="35" spans="1:4" ht="54" x14ac:dyDescent="0.35">
      <c r="A35" s="99"/>
      <c r="B35" s="282" t="s">
        <v>429</v>
      </c>
      <c r="C35" s="743">
        <f>1903.3+351.5</f>
        <v>2254.8000000000002</v>
      </c>
      <c r="D35" s="114">
        <v>929</v>
      </c>
    </row>
    <row r="36" spans="1:4" ht="72" x14ac:dyDescent="0.35">
      <c r="A36" s="99"/>
      <c r="B36" s="282" t="s">
        <v>762</v>
      </c>
      <c r="C36" s="743">
        <v>10072</v>
      </c>
      <c r="D36" s="114">
        <v>925</v>
      </c>
    </row>
    <row r="37" spans="1:4" ht="144" x14ac:dyDescent="0.35">
      <c r="A37" s="99"/>
      <c r="B37" s="282" t="s">
        <v>761</v>
      </c>
      <c r="C37" s="743">
        <v>3510.5</v>
      </c>
      <c r="D37" s="114">
        <v>925</v>
      </c>
    </row>
    <row r="38" spans="1:4" ht="54" x14ac:dyDescent="0.35">
      <c r="A38" s="99"/>
      <c r="B38" s="282" t="s">
        <v>613</v>
      </c>
      <c r="C38" s="743">
        <v>1164</v>
      </c>
      <c r="D38" s="114">
        <v>902</v>
      </c>
    </row>
    <row r="39" spans="1:4" ht="72" x14ac:dyDescent="0.35">
      <c r="A39" s="99"/>
      <c r="B39" s="283" t="s">
        <v>616</v>
      </c>
      <c r="C39" s="743">
        <v>26866.2</v>
      </c>
      <c r="D39" s="114">
        <v>929</v>
      </c>
    </row>
    <row r="40" spans="1:4" ht="36" x14ac:dyDescent="0.35">
      <c r="A40" s="83" t="s">
        <v>422</v>
      </c>
      <c r="B40" s="108" t="s">
        <v>361</v>
      </c>
      <c r="C40" s="111">
        <f>C41+C58+C62+C66+C68+C60+C64</f>
        <v>1057631.9999999998</v>
      </c>
      <c r="D40" s="244"/>
    </row>
    <row r="41" spans="1:4" ht="39" customHeight="1" x14ac:dyDescent="0.35">
      <c r="A41" s="83" t="s">
        <v>423</v>
      </c>
      <c r="B41" s="108" t="s">
        <v>20</v>
      </c>
      <c r="C41" s="111">
        <f>C42</f>
        <v>924459.49999999988</v>
      </c>
      <c r="D41" s="244"/>
    </row>
    <row r="42" spans="1:4" ht="36" x14ac:dyDescent="0.35">
      <c r="A42" s="83" t="s">
        <v>413</v>
      </c>
      <c r="B42" s="108" t="s">
        <v>585</v>
      </c>
      <c r="C42" s="111">
        <f>SUM(C43:C48)+SUM(C50:C52)+C55+C56+C57</f>
        <v>924459.49999999988</v>
      </c>
      <c r="D42" s="244"/>
    </row>
    <row r="43" spans="1:4" ht="144" x14ac:dyDescent="0.35">
      <c r="A43" s="83"/>
      <c r="B43" s="282" t="s">
        <v>440</v>
      </c>
      <c r="C43" s="743">
        <v>93.8</v>
      </c>
      <c r="D43" s="114">
        <v>929</v>
      </c>
    </row>
    <row r="44" spans="1:4" ht="54" x14ac:dyDescent="0.35">
      <c r="A44" s="83"/>
      <c r="B44" s="283" t="s">
        <v>441</v>
      </c>
      <c r="C44" s="745">
        <v>21496</v>
      </c>
      <c r="D44" s="114">
        <v>902</v>
      </c>
    </row>
    <row r="45" spans="1:4" s="100" customFormat="1" ht="72" x14ac:dyDescent="0.35">
      <c r="A45" s="99"/>
      <c r="B45" s="283" t="s">
        <v>275</v>
      </c>
      <c r="C45" s="745">
        <v>2391.3000000000002</v>
      </c>
      <c r="D45" s="114">
        <v>925</v>
      </c>
    </row>
    <row r="46" spans="1:4" s="100" customFormat="1" ht="160.94999999999999" customHeight="1" x14ac:dyDescent="0.35">
      <c r="A46" s="83"/>
      <c r="B46" s="283" t="s">
        <v>586</v>
      </c>
      <c r="C46" s="745">
        <v>755.8</v>
      </c>
      <c r="D46" s="114">
        <v>902</v>
      </c>
    </row>
    <row r="47" spans="1:4" ht="153" customHeight="1" x14ac:dyDescent="0.35">
      <c r="A47" s="110"/>
      <c r="B47" s="283" t="s">
        <v>672</v>
      </c>
      <c r="C47" s="745">
        <v>63</v>
      </c>
      <c r="D47" s="114">
        <v>902</v>
      </c>
    </row>
    <row r="48" spans="1:4" s="100" customFormat="1" ht="147.75" customHeight="1" x14ac:dyDescent="0.35">
      <c r="A48" s="99"/>
      <c r="B48" s="283" t="s">
        <v>278</v>
      </c>
      <c r="C48" s="745">
        <f>C49</f>
        <v>2207.5</v>
      </c>
      <c r="D48" s="114"/>
    </row>
    <row r="49" spans="1:13" s="100" customFormat="1" ht="60.75" customHeight="1" x14ac:dyDescent="0.35">
      <c r="A49" s="99" t="s">
        <v>274</v>
      </c>
      <c r="B49" s="283" t="s">
        <v>442</v>
      </c>
      <c r="C49" s="745">
        <v>2207.5</v>
      </c>
      <c r="D49" s="114">
        <v>925</v>
      </c>
    </row>
    <row r="50" spans="1:13" ht="147" customHeight="1" x14ac:dyDescent="0.35">
      <c r="A50" s="99"/>
      <c r="B50" s="283" t="s">
        <v>404</v>
      </c>
      <c r="C50" s="745">
        <f>56302.4+14074.3</f>
        <v>70376.7</v>
      </c>
      <c r="D50" s="114">
        <v>921</v>
      </c>
    </row>
    <row r="51" spans="1:13" ht="132" customHeight="1" x14ac:dyDescent="0.35">
      <c r="A51" s="83"/>
      <c r="B51" s="283" t="s">
        <v>518</v>
      </c>
      <c r="C51" s="745">
        <v>3298.8</v>
      </c>
      <c r="D51" s="114">
        <v>902</v>
      </c>
    </row>
    <row r="52" spans="1:13" ht="93.75" customHeight="1" x14ac:dyDescent="0.35">
      <c r="A52" s="99"/>
      <c r="B52" s="283" t="s">
        <v>364</v>
      </c>
      <c r="C52" s="745">
        <f>SUM(C53:C54)</f>
        <v>813983.89999999991</v>
      </c>
      <c r="D52" s="114"/>
    </row>
    <row r="53" spans="1:13" s="100" customFormat="1" ht="20.25" customHeight="1" x14ac:dyDescent="0.35">
      <c r="A53" s="99" t="s">
        <v>274</v>
      </c>
      <c r="B53" s="283" t="s">
        <v>276</v>
      </c>
      <c r="C53" s="744">
        <v>275400.2</v>
      </c>
      <c r="D53" s="114">
        <v>925</v>
      </c>
    </row>
    <row r="54" spans="1:13" s="100" customFormat="1" x14ac:dyDescent="0.35">
      <c r="A54" s="99"/>
      <c r="B54" s="422" t="s">
        <v>277</v>
      </c>
      <c r="C54" s="744">
        <v>538583.69999999995</v>
      </c>
      <c r="D54" s="114">
        <v>925</v>
      </c>
    </row>
    <row r="55" spans="1:13" s="100" customFormat="1" ht="181.95" customHeight="1" x14ac:dyDescent="0.35">
      <c r="A55" s="99"/>
      <c r="B55" s="423" t="s">
        <v>503</v>
      </c>
      <c r="C55" s="745">
        <v>2379.1</v>
      </c>
      <c r="D55" s="114">
        <v>925</v>
      </c>
    </row>
    <row r="56" spans="1:13" s="100" customFormat="1" ht="96.75" customHeight="1" x14ac:dyDescent="0.35">
      <c r="A56" s="99"/>
      <c r="B56" s="283" t="s">
        <v>462</v>
      </c>
      <c r="C56" s="745">
        <v>5568</v>
      </c>
      <c r="D56" s="114">
        <v>925</v>
      </c>
    </row>
    <row r="57" spans="1:13" s="100" customFormat="1" ht="126" x14ac:dyDescent="0.35">
      <c r="A57" s="99"/>
      <c r="B57" s="283" t="s">
        <v>554</v>
      </c>
      <c r="C57" s="745">
        <v>1845.6</v>
      </c>
      <c r="D57" s="114">
        <v>925</v>
      </c>
    </row>
    <row r="58" spans="1:13" s="90" customFormat="1" ht="94.5" customHeight="1" x14ac:dyDescent="0.3">
      <c r="A58" s="82" t="s">
        <v>424</v>
      </c>
      <c r="B58" s="108" t="s">
        <v>273</v>
      </c>
      <c r="C58" s="112">
        <f>C59</f>
        <v>8438.2000000000007</v>
      </c>
      <c r="D58" s="245" t="s">
        <v>399</v>
      </c>
      <c r="E58" s="87"/>
      <c r="F58" s="88"/>
      <c r="G58" s="89"/>
    </row>
    <row r="59" spans="1:13" s="90" customFormat="1" ht="95.25" customHeight="1" x14ac:dyDescent="0.3">
      <c r="A59" s="82" t="s">
        <v>417</v>
      </c>
      <c r="B59" s="108" t="s">
        <v>8</v>
      </c>
      <c r="C59" s="112">
        <v>8438.2000000000007</v>
      </c>
      <c r="D59" s="246">
        <v>925</v>
      </c>
      <c r="E59" s="87"/>
      <c r="H59" s="381"/>
      <c r="I59" s="382"/>
      <c r="J59" s="382"/>
      <c r="K59" s="382"/>
      <c r="L59" s="382"/>
      <c r="M59" s="382"/>
    </row>
    <row r="60" spans="1:13" s="90" customFormat="1" ht="95.25" customHeight="1" x14ac:dyDescent="0.3">
      <c r="A60" s="82" t="s">
        <v>558</v>
      </c>
      <c r="B60" s="108" t="s">
        <v>559</v>
      </c>
      <c r="C60" s="112">
        <f>C61</f>
        <v>5624.3</v>
      </c>
      <c r="D60" s="246"/>
      <c r="E60" s="87"/>
      <c r="H60" s="381"/>
      <c r="I60" s="382"/>
      <c r="J60" s="382"/>
      <c r="K60" s="382"/>
      <c r="L60" s="382"/>
      <c r="M60" s="382"/>
    </row>
    <row r="61" spans="1:13" s="90" customFormat="1" ht="95.25" customHeight="1" x14ac:dyDescent="0.3">
      <c r="A61" s="82" t="s">
        <v>560</v>
      </c>
      <c r="B61" s="108" t="s">
        <v>561</v>
      </c>
      <c r="C61" s="112">
        <v>5624.3</v>
      </c>
      <c r="D61" s="246">
        <v>921</v>
      </c>
      <c r="E61" s="87"/>
      <c r="H61" s="381"/>
      <c r="I61" s="382"/>
      <c r="J61" s="382"/>
      <c r="K61" s="382"/>
      <c r="L61" s="382"/>
      <c r="M61" s="382"/>
    </row>
    <row r="62" spans="1:13" ht="73.5" customHeight="1" x14ac:dyDescent="0.35">
      <c r="A62" s="83" t="s">
        <v>425</v>
      </c>
      <c r="B62" s="277" t="s">
        <v>403</v>
      </c>
      <c r="C62" s="111">
        <f>C63</f>
        <v>8.6</v>
      </c>
      <c r="D62" s="245"/>
      <c r="H62" s="382"/>
      <c r="I62" s="382"/>
      <c r="J62" s="382"/>
      <c r="K62" s="382"/>
      <c r="L62" s="382"/>
      <c r="M62" s="382"/>
    </row>
    <row r="63" spans="1:13" ht="74.25" customHeight="1" x14ac:dyDescent="0.35">
      <c r="A63" s="83" t="s">
        <v>414</v>
      </c>
      <c r="B63" s="277" t="s">
        <v>391</v>
      </c>
      <c r="C63" s="111">
        <v>8.6</v>
      </c>
      <c r="D63" s="245">
        <v>902</v>
      </c>
      <c r="H63" s="382"/>
      <c r="I63" s="382"/>
      <c r="J63" s="382"/>
      <c r="K63" s="382"/>
      <c r="L63" s="382"/>
      <c r="M63" s="382"/>
    </row>
    <row r="64" spans="1:13" ht="74.25" customHeight="1" x14ac:dyDescent="0.35">
      <c r="A64" s="83" t="s">
        <v>683</v>
      </c>
      <c r="B64" s="277" t="s">
        <v>684</v>
      </c>
      <c r="C64" s="111">
        <f>C65</f>
        <v>5745.9</v>
      </c>
      <c r="D64" s="245"/>
      <c r="H64" s="382"/>
      <c r="I64" s="382"/>
      <c r="J64" s="382"/>
      <c r="K64" s="382"/>
      <c r="L64" s="382"/>
      <c r="M64" s="382"/>
    </row>
    <row r="65" spans="1:13" ht="74.25" customHeight="1" x14ac:dyDescent="0.35">
      <c r="A65" s="83" t="s">
        <v>685</v>
      </c>
      <c r="B65" s="277" t="s">
        <v>686</v>
      </c>
      <c r="C65" s="111">
        <v>5745.9</v>
      </c>
      <c r="D65" s="245"/>
      <c r="H65" s="382"/>
      <c r="I65" s="382"/>
      <c r="J65" s="382"/>
      <c r="K65" s="382"/>
      <c r="L65" s="382"/>
      <c r="M65" s="382"/>
    </row>
    <row r="66" spans="1:13" ht="126" x14ac:dyDescent="0.35">
      <c r="A66" s="83" t="s">
        <v>519</v>
      </c>
      <c r="B66" s="277" t="s">
        <v>610</v>
      </c>
      <c r="C66" s="111">
        <f>C67</f>
        <v>35544.6</v>
      </c>
      <c r="D66" s="245"/>
      <c r="H66" s="382"/>
      <c r="I66" s="382"/>
      <c r="J66" s="382"/>
      <c r="K66" s="382"/>
      <c r="L66" s="382"/>
      <c r="M66" s="382"/>
    </row>
    <row r="67" spans="1:13" ht="126" x14ac:dyDescent="0.35">
      <c r="A67" s="83" t="s">
        <v>520</v>
      </c>
      <c r="B67" s="277" t="s">
        <v>609</v>
      </c>
      <c r="C67" s="111">
        <v>35544.6</v>
      </c>
      <c r="D67" s="245">
        <v>925</v>
      </c>
      <c r="H67" s="382"/>
      <c r="I67" s="382"/>
      <c r="J67" s="382"/>
      <c r="K67" s="382"/>
      <c r="L67" s="382"/>
      <c r="M67" s="382"/>
    </row>
    <row r="68" spans="1:13" ht="36" x14ac:dyDescent="0.35">
      <c r="A68" s="83" t="s">
        <v>564</v>
      </c>
      <c r="B68" s="277" t="s">
        <v>563</v>
      </c>
      <c r="C68" s="530">
        <f>C69</f>
        <v>77810.899999999994</v>
      </c>
    </row>
    <row r="69" spans="1:13" ht="36" x14ac:dyDescent="0.35">
      <c r="A69" s="83" t="s">
        <v>565</v>
      </c>
      <c r="B69" s="277" t="s">
        <v>566</v>
      </c>
      <c r="C69" s="530">
        <f>4104.8+73563.2+142.9</f>
        <v>77810.899999999994</v>
      </c>
      <c r="D69" s="91">
        <v>902.95299999999997</v>
      </c>
    </row>
    <row r="70" spans="1:13" ht="18" customHeight="1" x14ac:dyDescent="0.35">
      <c r="A70" s="83" t="s">
        <v>428</v>
      </c>
      <c r="B70" s="277" t="s">
        <v>450</v>
      </c>
      <c r="C70" s="111">
        <f>C71+C73</f>
        <v>11484.2</v>
      </c>
      <c r="D70" s="245"/>
    </row>
    <row r="71" spans="1:13" ht="72" x14ac:dyDescent="0.35">
      <c r="A71" s="129" t="s">
        <v>451</v>
      </c>
      <c r="B71" s="279" t="s">
        <v>452</v>
      </c>
      <c r="C71" s="111">
        <f>C72</f>
        <v>2779.2</v>
      </c>
      <c r="D71" s="245"/>
    </row>
    <row r="72" spans="1:13" ht="90" x14ac:dyDescent="0.35">
      <c r="A72" s="129" t="s">
        <v>416</v>
      </c>
      <c r="B72" s="279" t="s">
        <v>5</v>
      </c>
      <c r="C72" s="111">
        <f>'прил.4 (безв.от пос.24) '!C14</f>
        <v>2779.2</v>
      </c>
      <c r="D72" s="245"/>
    </row>
    <row r="73" spans="1:13" x14ac:dyDescent="0.35">
      <c r="A73" s="83" t="s">
        <v>717</v>
      </c>
      <c r="B73" s="277" t="s">
        <v>718</v>
      </c>
      <c r="C73" s="112">
        <f>C74</f>
        <v>8705</v>
      </c>
      <c r="D73" s="245"/>
    </row>
    <row r="74" spans="1:13" ht="36" x14ac:dyDescent="0.35">
      <c r="A74" s="83" t="s">
        <v>713</v>
      </c>
      <c r="B74" s="277" t="s">
        <v>714</v>
      </c>
      <c r="C74" s="112">
        <f>SUM(C75:C76)</f>
        <v>8705</v>
      </c>
      <c r="D74" s="245"/>
    </row>
    <row r="75" spans="1:13" ht="72" x14ac:dyDescent="0.35">
      <c r="A75" s="129"/>
      <c r="B75" s="775" t="s">
        <v>715</v>
      </c>
      <c r="C75" s="743">
        <v>7255</v>
      </c>
      <c r="D75" s="245">
        <v>902</v>
      </c>
    </row>
    <row r="76" spans="1:13" ht="54" x14ac:dyDescent="0.35">
      <c r="A76" s="83"/>
      <c r="B76" s="776" t="s">
        <v>716</v>
      </c>
      <c r="C76" s="745">
        <f>500+950</f>
        <v>1450</v>
      </c>
      <c r="D76" s="245" t="s">
        <v>739</v>
      </c>
      <c r="E76" s="106"/>
      <c r="F76" s="106"/>
    </row>
    <row r="77" spans="1:13" x14ac:dyDescent="0.35">
      <c r="A77" s="116"/>
      <c r="B77" s="160"/>
      <c r="C77" s="727"/>
      <c r="D77" s="245"/>
      <c r="E77" s="106"/>
      <c r="F77" s="106"/>
    </row>
    <row r="78" spans="1:13" x14ac:dyDescent="0.35">
      <c r="A78" s="116"/>
      <c r="B78" s="160"/>
      <c r="C78" s="103"/>
    </row>
    <row r="79" spans="1:13" x14ac:dyDescent="0.35">
      <c r="A79" s="732" t="s">
        <v>396</v>
      </c>
      <c r="B79" s="86"/>
      <c r="C79" s="87"/>
      <c r="D79" s="104"/>
    </row>
    <row r="80" spans="1:13" x14ac:dyDescent="0.35">
      <c r="A80" s="732" t="s">
        <v>397</v>
      </c>
      <c r="B80" s="86"/>
      <c r="C80" s="87"/>
      <c r="D80" s="104"/>
    </row>
    <row r="81" spans="1:4" x14ac:dyDescent="0.35">
      <c r="A81" s="733" t="s">
        <v>398</v>
      </c>
      <c r="B81" s="86"/>
      <c r="C81" s="734" t="s">
        <v>409</v>
      </c>
      <c r="D81" s="104"/>
    </row>
    <row r="412" spans="11:12" x14ac:dyDescent="0.35">
      <c r="K412" s="79">
        <v>135.4</v>
      </c>
      <c r="L412" s="79">
        <v>140.9</v>
      </c>
    </row>
    <row r="413" spans="11:12" x14ac:dyDescent="0.35">
      <c r="K413" s="79">
        <v>27088.9</v>
      </c>
      <c r="L413" s="79">
        <v>28171.4</v>
      </c>
    </row>
  </sheetData>
  <autoFilter ref="B1:D413"/>
  <mergeCells count="1">
    <mergeCell ref="A6:C6"/>
  </mergeCells>
  <printOptions horizontalCentered="1"/>
  <pageMargins left="1.1811023622047245" right="0.39370078740157483" top="0.6692913385826772" bottom="0.39370078740157483" header="0" footer="0"/>
  <pageSetup paperSize="9" scale="72" fitToHeight="0" orientation="portrait" blackAndWhite="1" r:id="rId1"/>
  <headerFooter differentFirst="1">
    <oddHeader>&amp;C&amp;"Times New Roman,обычный"&amp;12&amp;P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J397"/>
  <sheetViews>
    <sheetView zoomScale="80" zoomScaleNormal="80" workbookViewId="0">
      <selection activeCell="I4" sqref="I4"/>
    </sheetView>
  </sheetViews>
  <sheetFormatPr defaultColWidth="8.88671875" defaultRowHeight="18" x14ac:dyDescent="0.35"/>
  <cols>
    <col min="1" max="1" width="28.6640625" style="79" customWidth="1"/>
    <col min="2" max="2" width="69.109375" style="79" customWidth="1"/>
    <col min="3" max="3" width="13.5546875" style="105" customWidth="1"/>
    <col min="4" max="4" width="14.109375" style="79" customWidth="1"/>
    <col min="5" max="5" width="12.33203125" style="114" hidden="1" customWidth="1"/>
    <col min="6" max="6" width="0" style="79" hidden="1" customWidth="1"/>
    <col min="7" max="16384" width="8.88671875" style="79"/>
  </cols>
  <sheetData>
    <row r="1" spans="1:5" x14ac:dyDescent="0.35">
      <c r="A1" s="106"/>
      <c r="B1" s="106"/>
      <c r="C1" s="79"/>
      <c r="D1" s="84" t="s">
        <v>525</v>
      </c>
      <c r="E1" s="79"/>
    </row>
    <row r="2" spans="1:5" x14ac:dyDescent="0.35">
      <c r="A2" s="106"/>
      <c r="B2" s="106"/>
      <c r="C2" s="79"/>
      <c r="D2" s="205" t="s">
        <v>695</v>
      </c>
      <c r="E2" s="79"/>
    </row>
    <row r="3" spans="1:5" x14ac:dyDescent="0.35">
      <c r="A3" s="106"/>
      <c r="B3" s="106"/>
      <c r="C3" s="79"/>
      <c r="D3" s="205"/>
      <c r="E3" s="79"/>
    </row>
    <row r="4" spans="1:5" ht="16.2" customHeight="1" x14ac:dyDescent="0.35"/>
    <row r="5" spans="1:5" ht="40.200000000000003" customHeight="1" x14ac:dyDescent="0.35">
      <c r="A5" s="816" t="s">
        <v>622</v>
      </c>
      <c r="B5" s="816"/>
      <c r="C5" s="816"/>
      <c r="D5" s="816"/>
    </row>
    <row r="6" spans="1:5" ht="9" customHeight="1" x14ac:dyDescent="0.35">
      <c r="A6" s="541"/>
      <c r="B6" s="541"/>
      <c r="C6" s="92"/>
    </row>
    <row r="7" spans="1:5" x14ac:dyDescent="0.35">
      <c r="D7" s="93" t="s">
        <v>21</v>
      </c>
    </row>
    <row r="8" spans="1:5" x14ac:dyDescent="0.35">
      <c r="A8" s="814" t="s">
        <v>13</v>
      </c>
      <c r="B8" s="814" t="s">
        <v>14</v>
      </c>
      <c r="C8" s="812" t="s">
        <v>15</v>
      </c>
      <c r="D8" s="813"/>
    </row>
    <row r="9" spans="1:5" x14ac:dyDescent="0.35">
      <c r="A9" s="815"/>
      <c r="B9" s="815"/>
      <c r="C9" s="94" t="s">
        <v>578</v>
      </c>
      <c r="D9" s="94" t="s">
        <v>621</v>
      </c>
    </row>
    <row r="10" spans="1:5" x14ac:dyDescent="0.35">
      <c r="A10" s="95">
        <v>1</v>
      </c>
      <c r="B10" s="95">
        <v>2</v>
      </c>
      <c r="C10" s="96">
        <v>3</v>
      </c>
      <c r="D10" s="96">
        <v>4</v>
      </c>
    </row>
    <row r="11" spans="1:5" x14ac:dyDescent="0.35">
      <c r="A11" s="85" t="s">
        <v>16</v>
      </c>
      <c r="B11" s="97" t="s">
        <v>325</v>
      </c>
      <c r="C11" s="98">
        <f>C12</f>
        <v>1347267.5999999999</v>
      </c>
      <c r="D11" s="98">
        <f>D12</f>
        <v>1409471.5999999999</v>
      </c>
    </row>
    <row r="12" spans="1:5" ht="36" x14ac:dyDescent="0.35">
      <c r="A12" s="83" t="s">
        <v>17</v>
      </c>
      <c r="B12" s="108" t="s">
        <v>18</v>
      </c>
      <c r="C12" s="111">
        <f>C13+C28+C16</f>
        <v>1347267.5999999999</v>
      </c>
      <c r="D12" s="111">
        <f>D13+D28+D16</f>
        <v>1409471.5999999999</v>
      </c>
    </row>
    <row r="13" spans="1:5" ht="36" x14ac:dyDescent="0.35">
      <c r="A13" s="83" t="s">
        <v>418</v>
      </c>
      <c r="B13" s="108" t="s">
        <v>360</v>
      </c>
      <c r="C13" s="111">
        <f>C14</f>
        <v>201131.1</v>
      </c>
      <c r="D13" s="111">
        <f>D14</f>
        <v>219959.6</v>
      </c>
    </row>
    <row r="14" spans="1:5" x14ac:dyDescent="0.35">
      <c r="A14" s="83" t="s">
        <v>419</v>
      </c>
      <c r="B14" s="108" t="s">
        <v>19</v>
      </c>
      <c r="C14" s="111">
        <f>C15</f>
        <v>201131.1</v>
      </c>
      <c r="D14" s="111">
        <f>D15</f>
        <v>219959.6</v>
      </c>
    </row>
    <row r="15" spans="1:5" ht="54" x14ac:dyDescent="0.35">
      <c r="A15" s="83" t="s">
        <v>415</v>
      </c>
      <c r="B15" s="108" t="s">
        <v>448</v>
      </c>
      <c r="C15" s="111">
        <v>201131.1</v>
      </c>
      <c r="D15" s="111">
        <v>219959.6</v>
      </c>
    </row>
    <row r="16" spans="1:5" ht="36" x14ac:dyDescent="0.35">
      <c r="A16" s="83" t="s">
        <v>420</v>
      </c>
      <c r="B16" s="109" t="s">
        <v>390</v>
      </c>
      <c r="C16" s="111">
        <f>C22+C17+C19</f>
        <v>76858.100000000006</v>
      </c>
      <c r="D16" s="111">
        <f>D22+D17+D19</f>
        <v>76267.8</v>
      </c>
    </row>
    <row r="17" spans="1:5" s="91" customFormat="1" ht="72" x14ac:dyDescent="0.35">
      <c r="A17" s="82" t="s">
        <v>477</v>
      </c>
      <c r="B17" s="109" t="s">
        <v>478</v>
      </c>
      <c r="C17" s="111">
        <f>C18</f>
        <v>64923</v>
      </c>
      <c r="D17" s="111">
        <f>D18</f>
        <v>65025.7</v>
      </c>
      <c r="E17" s="114"/>
    </row>
    <row r="18" spans="1:5" s="91" customFormat="1" ht="72" customHeight="1" x14ac:dyDescent="0.35">
      <c r="A18" s="82" t="s">
        <v>473</v>
      </c>
      <c r="B18" s="109" t="s">
        <v>474</v>
      </c>
      <c r="C18" s="111">
        <v>64923</v>
      </c>
      <c r="D18" s="111">
        <v>65025.7</v>
      </c>
      <c r="E18" s="114">
        <v>925</v>
      </c>
    </row>
    <row r="19" spans="1:5" s="91" customFormat="1" x14ac:dyDescent="0.35">
      <c r="A19" s="82" t="s">
        <v>573</v>
      </c>
      <c r="B19" s="109" t="s">
        <v>574</v>
      </c>
      <c r="C19" s="111">
        <f>C20</f>
        <v>395.6</v>
      </c>
      <c r="D19" s="111">
        <f>D20</f>
        <v>406</v>
      </c>
      <c r="E19" s="114"/>
    </row>
    <row r="20" spans="1:5" s="91" customFormat="1" ht="36" x14ac:dyDescent="0.35">
      <c r="A20" s="82" t="s">
        <v>572</v>
      </c>
      <c r="B20" s="109" t="s">
        <v>575</v>
      </c>
      <c r="C20" s="111">
        <f>C21</f>
        <v>395.6</v>
      </c>
      <c r="D20" s="111">
        <f>D21</f>
        <v>406</v>
      </c>
      <c r="E20" s="114">
        <v>926</v>
      </c>
    </row>
    <row r="21" spans="1:5" s="91" customFormat="1" ht="72" x14ac:dyDescent="0.35">
      <c r="A21" s="82"/>
      <c r="B21" s="283" t="s">
        <v>576</v>
      </c>
      <c r="C21" s="111">
        <v>395.6</v>
      </c>
      <c r="D21" s="111">
        <v>406</v>
      </c>
      <c r="E21" s="114"/>
    </row>
    <row r="22" spans="1:5" x14ac:dyDescent="0.35">
      <c r="A22" s="82" t="s">
        <v>421</v>
      </c>
      <c r="B22" s="109" t="s">
        <v>319</v>
      </c>
      <c r="C22" s="111">
        <f>C23</f>
        <v>11539.5</v>
      </c>
      <c r="D22" s="111">
        <f>D23</f>
        <v>10836.1</v>
      </c>
    </row>
    <row r="23" spans="1:5" x14ac:dyDescent="0.35">
      <c r="A23" s="82" t="s">
        <v>412</v>
      </c>
      <c r="B23" s="109" t="s">
        <v>584</v>
      </c>
      <c r="C23" s="111">
        <f>SUM(C24:C27)</f>
        <v>11539.5</v>
      </c>
      <c r="D23" s="111">
        <f>SUM(D24:D27)</f>
        <v>10836.1</v>
      </c>
    </row>
    <row r="24" spans="1:5" ht="234" x14ac:dyDescent="0.35">
      <c r="A24" s="99"/>
      <c r="B24" s="282" t="s">
        <v>675</v>
      </c>
      <c r="C24" s="743">
        <v>40</v>
      </c>
      <c r="D24" s="743">
        <v>40</v>
      </c>
      <c r="E24" s="114">
        <v>926</v>
      </c>
    </row>
    <row r="25" spans="1:5" ht="54" x14ac:dyDescent="0.35">
      <c r="A25" s="99"/>
      <c r="B25" s="282" t="s">
        <v>429</v>
      </c>
      <c r="C25" s="743">
        <f>1903.3+351.5</f>
        <v>2254.8000000000002</v>
      </c>
      <c r="D25" s="743">
        <f>1142+210.9</f>
        <v>1352.9</v>
      </c>
      <c r="E25" s="114">
        <v>929</v>
      </c>
    </row>
    <row r="26" spans="1:5" ht="72" x14ac:dyDescent="0.35">
      <c r="A26" s="99"/>
      <c r="B26" s="282" t="s">
        <v>762</v>
      </c>
      <c r="C26" s="743">
        <v>9244.7000000000007</v>
      </c>
      <c r="D26" s="743">
        <v>8702.2000000000007</v>
      </c>
      <c r="E26" s="114">
        <v>925</v>
      </c>
    </row>
    <row r="27" spans="1:5" ht="36" x14ac:dyDescent="0.35">
      <c r="A27" s="99"/>
      <c r="B27" s="282" t="s">
        <v>674</v>
      </c>
      <c r="C27" s="743">
        <v>0</v>
      </c>
      <c r="D27" s="743">
        <v>741</v>
      </c>
      <c r="E27" s="114">
        <v>902</v>
      </c>
    </row>
    <row r="28" spans="1:5" ht="36" x14ac:dyDescent="0.35">
      <c r="A28" s="83" t="s">
        <v>422</v>
      </c>
      <c r="B28" s="108" t="s">
        <v>361</v>
      </c>
      <c r="C28" s="111">
        <f>C29+C46+C50+C54+C56+C48+C52</f>
        <v>1069278.3999999997</v>
      </c>
      <c r="D28" s="111">
        <f>D29+D46+D50+D54+D56+D48+D52</f>
        <v>1113244.1999999997</v>
      </c>
    </row>
    <row r="29" spans="1:5" ht="39.75" customHeight="1" x14ac:dyDescent="0.35">
      <c r="A29" s="83" t="s">
        <v>423</v>
      </c>
      <c r="B29" s="108" t="s">
        <v>20</v>
      </c>
      <c r="C29" s="111">
        <f>C30</f>
        <v>930639.2</v>
      </c>
      <c r="D29" s="111">
        <f>D30</f>
        <v>971241.29999999993</v>
      </c>
    </row>
    <row r="30" spans="1:5" ht="54" x14ac:dyDescent="0.35">
      <c r="A30" s="83" t="s">
        <v>413</v>
      </c>
      <c r="B30" s="108" t="s">
        <v>585</v>
      </c>
      <c r="C30" s="111">
        <f>SUM(C31:C36)+SUM(C38:C40)+C43+C44+C45</f>
        <v>930639.2</v>
      </c>
      <c r="D30" s="111">
        <f>SUM(D31:D36)+SUM(D38:D40)+D43+D44+D45</f>
        <v>971241.29999999993</v>
      </c>
    </row>
    <row r="31" spans="1:5" ht="162" x14ac:dyDescent="0.35">
      <c r="A31" s="83"/>
      <c r="B31" s="282" t="s">
        <v>440</v>
      </c>
      <c r="C31" s="743">
        <v>93.8</v>
      </c>
      <c r="D31" s="743">
        <v>93.8</v>
      </c>
      <c r="E31" s="114">
        <v>929</v>
      </c>
    </row>
    <row r="32" spans="1:5" ht="54" x14ac:dyDescent="0.35">
      <c r="A32" s="83"/>
      <c r="B32" s="283" t="s">
        <v>441</v>
      </c>
      <c r="C32" s="745">
        <v>21516</v>
      </c>
      <c r="D32" s="745">
        <v>21516</v>
      </c>
      <c r="E32" s="114">
        <v>902</v>
      </c>
    </row>
    <row r="33" spans="1:5" ht="72" x14ac:dyDescent="0.35">
      <c r="A33" s="99"/>
      <c r="B33" s="283" t="s">
        <v>275</v>
      </c>
      <c r="C33" s="745">
        <v>2481.6</v>
      </c>
      <c r="D33" s="745">
        <v>2589.1999999999998</v>
      </c>
      <c r="E33" s="114">
        <v>925</v>
      </c>
    </row>
    <row r="34" spans="1:5" ht="162" x14ac:dyDescent="0.35">
      <c r="A34" s="83"/>
      <c r="B34" s="283" t="s">
        <v>586</v>
      </c>
      <c r="C34" s="745">
        <v>775.8</v>
      </c>
      <c r="D34" s="745">
        <v>775.8</v>
      </c>
      <c r="E34" s="114">
        <v>902</v>
      </c>
    </row>
    <row r="35" spans="1:5" s="100" customFormat="1" ht="162" x14ac:dyDescent="0.35">
      <c r="A35" s="110"/>
      <c r="B35" s="283" t="s">
        <v>671</v>
      </c>
      <c r="C35" s="745">
        <v>63</v>
      </c>
      <c r="D35" s="745">
        <v>63</v>
      </c>
      <c r="E35" s="114">
        <v>902</v>
      </c>
    </row>
    <row r="36" spans="1:5" s="100" customFormat="1" ht="148.94999999999999" customHeight="1" x14ac:dyDescent="0.35">
      <c r="A36" s="99"/>
      <c r="B36" s="283" t="s">
        <v>278</v>
      </c>
      <c r="C36" s="745">
        <f>C37</f>
        <v>2295.8000000000002</v>
      </c>
      <c r="D36" s="745">
        <f>D37</f>
        <v>2387.6</v>
      </c>
      <c r="E36" s="114"/>
    </row>
    <row r="37" spans="1:5" s="100" customFormat="1" ht="56.4" customHeight="1" x14ac:dyDescent="0.35">
      <c r="A37" s="99" t="s">
        <v>274</v>
      </c>
      <c r="B37" s="283" t="s">
        <v>442</v>
      </c>
      <c r="C37" s="745">
        <v>2295.8000000000002</v>
      </c>
      <c r="D37" s="745">
        <v>2387.6</v>
      </c>
      <c r="E37" s="114">
        <v>925</v>
      </c>
    </row>
    <row r="38" spans="1:5" ht="162" x14ac:dyDescent="0.35">
      <c r="A38" s="99"/>
      <c r="B38" s="283" t="s">
        <v>404</v>
      </c>
      <c r="C38" s="745">
        <f>30971.5+22518.8</f>
        <v>53490.3</v>
      </c>
      <c r="D38" s="745">
        <f>28156.7+22518.8</f>
        <v>50675.5</v>
      </c>
      <c r="E38" s="114">
        <v>921</v>
      </c>
    </row>
    <row r="39" spans="1:5" ht="157.19999999999999" customHeight="1" x14ac:dyDescent="0.35">
      <c r="A39" s="83"/>
      <c r="B39" s="283" t="s">
        <v>518</v>
      </c>
      <c r="C39" s="745">
        <v>3298.8</v>
      </c>
      <c r="D39" s="745">
        <v>3430.7</v>
      </c>
      <c r="E39" s="114">
        <v>902</v>
      </c>
    </row>
    <row r="40" spans="1:5" ht="90" x14ac:dyDescent="0.35">
      <c r="A40" s="99"/>
      <c r="B40" s="283" t="s">
        <v>364</v>
      </c>
      <c r="C40" s="745">
        <f>SUM(C41:C42)</f>
        <v>836620.6</v>
      </c>
      <c r="D40" s="745">
        <f>SUM(D41:D42)</f>
        <v>879550.2</v>
      </c>
    </row>
    <row r="41" spans="1:5" ht="20.25" customHeight="1" x14ac:dyDescent="0.35">
      <c r="A41" s="99" t="s">
        <v>274</v>
      </c>
      <c r="B41" s="283" t="s">
        <v>276</v>
      </c>
      <c r="C41" s="744">
        <v>295377.5</v>
      </c>
      <c r="D41" s="744">
        <v>312592.3</v>
      </c>
      <c r="E41" s="114">
        <v>925</v>
      </c>
    </row>
    <row r="42" spans="1:5" x14ac:dyDescent="0.35">
      <c r="A42" s="99"/>
      <c r="B42" s="422" t="s">
        <v>277</v>
      </c>
      <c r="C42" s="744">
        <v>541243.1</v>
      </c>
      <c r="D42" s="744">
        <v>566957.9</v>
      </c>
      <c r="E42" s="114">
        <v>925</v>
      </c>
    </row>
    <row r="43" spans="1:5" ht="198" x14ac:dyDescent="0.35">
      <c r="A43" s="99"/>
      <c r="B43" s="423" t="s">
        <v>503</v>
      </c>
      <c r="C43" s="745">
        <v>2291.5</v>
      </c>
      <c r="D43" s="745">
        <v>2262.3000000000002</v>
      </c>
      <c r="E43" s="114">
        <v>925</v>
      </c>
    </row>
    <row r="44" spans="1:5" ht="90" x14ac:dyDescent="0.35">
      <c r="A44" s="99"/>
      <c r="B44" s="283" t="s">
        <v>462</v>
      </c>
      <c r="C44" s="745">
        <v>5790.9</v>
      </c>
      <c r="D44" s="745">
        <v>6022</v>
      </c>
      <c r="E44" s="114">
        <v>925</v>
      </c>
    </row>
    <row r="45" spans="1:5" ht="126" x14ac:dyDescent="0.35">
      <c r="A45" s="99"/>
      <c r="B45" s="283" t="s">
        <v>554</v>
      </c>
      <c r="C45" s="745">
        <v>1921.1</v>
      </c>
      <c r="D45" s="745">
        <v>1875.2</v>
      </c>
      <c r="E45" s="114">
        <v>925</v>
      </c>
    </row>
    <row r="46" spans="1:5" s="90" customFormat="1" ht="90" x14ac:dyDescent="0.3">
      <c r="A46" s="82" t="s">
        <v>424</v>
      </c>
      <c r="B46" s="108" t="s">
        <v>273</v>
      </c>
      <c r="C46" s="112">
        <f>C47</f>
        <v>8438.2000000000007</v>
      </c>
      <c r="D46" s="112">
        <f>D47</f>
        <v>8438.2000000000007</v>
      </c>
      <c r="E46" s="114"/>
    </row>
    <row r="47" spans="1:5" ht="93" customHeight="1" x14ac:dyDescent="0.35">
      <c r="A47" s="82" t="s">
        <v>417</v>
      </c>
      <c r="B47" s="108" t="s">
        <v>8</v>
      </c>
      <c r="C47" s="112">
        <v>8438.2000000000007</v>
      </c>
      <c r="D47" s="112">
        <v>8438.2000000000007</v>
      </c>
      <c r="E47" s="115">
        <v>925</v>
      </c>
    </row>
    <row r="48" spans="1:5" ht="72" x14ac:dyDescent="0.35">
      <c r="A48" s="82" t="s">
        <v>558</v>
      </c>
      <c r="B48" s="108" t="s">
        <v>559</v>
      </c>
      <c r="C48" s="112">
        <f>C49</f>
        <v>8436.4</v>
      </c>
      <c r="D48" s="112">
        <f>D49</f>
        <v>8436.4</v>
      </c>
      <c r="E48" s="115"/>
    </row>
    <row r="49" spans="1:5" ht="72" x14ac:dyDescent="0.35">
      <c r="A49" s="82" t="s">
        <v>560</v>
      </c>
      <c r="B49" s="108" t="s">
        <v>561</v>
      </c>
      <c r="C49" s="112">
        <v>8436.4</v>
      </c>
      <c r="D49" s="112">
        <v>8436.4</v>
      </c>
      <c r="E49" s="115">
        <v>921</v>
      </c>
    </row>
    <row r="50" spans="1:5" ht="72" x14ac:dyDescent="0.35">
      <c r="A50" s="83" t="s">
        <v>425</v>
      </c>
      <c r="B50" s="277" t="s">
        <v>403</v>
      </c>
      <c r="C50" s="111">
        <f>C51</f>
        <v>8.9</v>
      </c>
      <c r="D50" s="111">
        <f>D51</f>
        <v>85.9</v>
      </c>
    </row>
    <row r="51" spans="1:5" ht="75" customHeight="1" x14ac:dyDescent="0.35">
      <c r="A51" s="83" t="s">
        <v>414</v>
      </c>
      <c r="B51" s="277" t="s">
        <v>391</v>
      </c>
      <c r="C51" s="111">
        <v>8.9</v>
      </c>
      <c r="D51" s="111">
        <v>85.9</v>
      </c>
      <c r="E51" s="114">
        <v>902</v>
      </c>
    </row>
    <row r="52" spans="1:5" ht="75" customHeight="1" x14ac:dyDescent="0.35">
      <c r="A52" s="83" t="s">
        <v>683</v>
      </c>
      <c r="B52" s="277" t="s">
        <v>684</v>
      </c>
      <c r="C52" s="111">
        <f>C53</f>
        <v>5745.9</v>
      </c>
      <c r="D52" s="111">
        <f>D53</f>
        <v>6946.4</v>
      </c>
    </row>
    <row r="53" spans="1:5" ht="75" customHeight="1" x14ac:dyDescent="0.35">
      <c r="A53" s="83" t="s">
        <v>685</v>
      </c>
      <c r="B53" s="277" t="s">
        <v>686</v>
      </c>
      <c r="C53" s="111">
        <v>5745.9</v>
      </c>
      <c r="D53" s="111">
        <v>6946.4</v>
      </c>
    </row>
    <row r="54" spans="1:5" ht="144" x14ac:dyDescent="0.35">
      <c r="A54" s="82" t="s">
        <v>519</v>
      </c>
      <c r="B54" s="108" t="s">
        <v>610</v>
      </c>
      <c r="C54" s="112">
        <f>C55</f>
        <v>35544.6</v>
      </c>
      <c r="D54" s="112">
        <f>D55</f>
        <v>35544.6</v>
      </c>
      <c r="E54" s="246"/>
    </row>
    <row r="55" spans="1:5" ht="144" x14ac:dyDescent="0.35">
      <c r="A55" s="82" t="s">
        <v>520</v>
      </c>
      <c r="B55" s="108" t="s">
        <v>609</v>
      </c>
      <c r="C55" s="112">
        <v>35544.6</v>
      </c>
      <c r="D55" s="112">
        <v>35544.6</v>
      </c>
      <c r="E55" s="115">
        <v>925</v>
      </c>
    </row>
    <row r="56" spans="1:5" ht="36" x14ac:dyDescent="0.35">
      <c r="A56" s="83" t="s">
        <v>564</v>
      </c>
      <c r="B56" s="277" t="s">
        <v>563</v>
      </c>
      <c r="C56" s="112">
        <f>C57</f>
        <v>80465.2</v>
      </c>
      <c r="D56" s="112">
        <f>D57</f>
        <v>82551.399999999994</v>
      </c>
      <c r="E56" s="115"/>
    </row>
    <row r="57" spans="1:5" ht="36" x14ac:dyDescent="0.35">
      <c r="A57" s="83" t="s">
        <v>565</v>
      </c>
      <c r="B57" s="277" t="s">
        <v>566</v>
      </c>
      <c r="C57" s="112">
        <f>4217.2+76105.1+142.9</f>
        <v>80465.2</v>
      </c>
      <c r="D57" s="112">
        <f>4217.2+78191.3+142.9</f>
        <v>82551.399999999994</v>
      </c>
      <c r="E57" s="115">
        <v>902.95299999999997</v>
      </c>
    </row>
    <row r="58" spans="1:5" ht="25.95" customHeight="1" x14ac:dyDescent="0.35">
      <c r="A58" s="116"/>
      <c r="B58" s="160"/>
      <c r="C58" s="161"/>
      <c r="D58" s="161"/>
    </row>
    <row r="59" spans="1:5" ht="25.95" customHeight="1" x14ac:dyDescent="0.35">
      <c r="A59" s="101"/>
      <c r="B59" s="102"/>
      <c r="C59" s="103"/>
    </row>
    <row r="60" spans="1:5" x14ac:dyDescent="0.35">
      <c r="A60" s="785" t="s">
        <v>396</v>
      </c>
      <c r="B60" s="86"/>
      <c r="C60" s="87"/>
      <c r="D60" s="87"/>
      <c r="E60" s="786"/>
    </row>
    <row r="61" spans="1:5" x14ac:dyDescent="0.35">
      <c r="A61" s="785" t="s">
        <v>397</v>
      </c>
      <c r="B61" s="86"/>
      <c r="C61" s="87"/>
      <c r="D61" s="87"/>
      <c r="E61" s="786"/>
    </row>
    <row r="62" spans="1:5" x14ac:dyDescent="0.35">
      <c r="A62" s="787" t="s">
        <v>398</v>
      </c>
      <c r="B62" s="86"/>
      <c r="C62" s="90"/>
      <c r="D62" s="734" t="s">
        <v>409</v>
      </c>
      <c r="E62" s="786"/>
    </row>
    <row r="63" spans="1:5" x14ac:dyDescent="0.35">
      <c r="A63" s="735"/>
    </row>
    <row r="396" spans="9:10" x14ac:dyDescent="0.35">
      <c r="I396" s="79">
        <v>135.4</v>
      </c>
      <c r="J396" s="79">
        <v>140.9</v>
      </c>
    </row>
    <row r="397" spans="9:10" x14ac:dyDescent="0.35">
      <c r="I397" s="79">
        <v>27088.9</v>
      </c>
      <c r="J397" s="79">
        <v>28171.4</v>
      </c>
    </row>
  </sheetData>
  <autoFilter ref="A10:J57"/>
  <mergeCells count="4">
    <mergeCell ref="C8:D8"/>
    <mergeCell ref="A8:A9"/>
    <mergeCell ref="B8:B9"/>
    <mergeCell ref="A5:D5"/>
  </mergeCells>
  <printOptions horizontalCentered="1"/>
  <pageMargins left="1.1811023622047245" right="0.39370078740157483" top="0.6692913385826772" bottom="0.39370078740157483" header="0.31496062992125984" footer="0"/>
  <pageSetup paperSize="9" scale="62" orientation="portrait" blackAndWhite="1" r:id="rId1"/>
  <headerFooter differentFirst="1">
    <oddHeader>&amp;C&amp;"Times New Roman,обычный"&amp;P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pageSetUpPr fitToPage="1"/>
  </sheetPr>
  <dimension ref="A1:H48"/>
  <sheetViews>
    <sheetView zoomScale="90" zoomScaleNormal="90" zoomScaleSheetLayoutView="85" workbookViewId="0">
      <selection activeCell="D7" sqref="D1:D1048576"/>
    </sheetView>
  </sheetViews>
  <sheetFormatPr defaultColWidth="9.109375" defaultRowHeight="18" x14ac:dyDescent="0.35"/>
  <cols>
    <col min="1" max="1" width="28.109375" style="242" customWidth="1"/>
    <col min="2" max="2" width="78.6640625" style="242" customWidth="1"/>
    <col min="3" max="3" width="16" style="316" customWidth="1"/>
    <col min="4" max="4" width="17.44140625" style="316" hidden="1" customWidth="1"/>
    <col min="5" max="5" width="15.109375" style="316" customWidth="1"/>
    <col min="6" max="6" width="14.33203125" style="326" customWidth="1"/>
    <col min="7" max="7" width="14.5546875" style="242" customWidth="1"/>
    <col min="8" max="8" width="20.6640625" style="242" customWidth="1"/>
    <col min="9" max="9" width="30.6640625" style="242" customWidth="1"/>
    <col min="10" max="16384" width="9.109375" style="242"/>
  </cols>
  <sheetData>
    <row r="1" spans="1:8" s="79" customFormat="1" x14ac:dyDescent="0.35">
      <c r="C1" s="84" t="s">
        <v>526</v>
      </c>
      <c r="E1" s="114"/>
    </row>
    <row r="2" spans="1:8" s="79" customFormat="1" x14ac:dyDescent="0.35">
      <c r="C2" s="205" t="s">
        <v>695</v>
      </c>
      <c r="E2" s="114"/>
    </row>
    <row r="3" spans="1:8" s="79" customFormat="1" x14ac:dyDescent="0.35">
      <c r="C3" s="205"/>
      <c r="E3" s="114"/>
    </row>
    <row r="5" spans="1:8" ht="84.6" customHeight="1" x14ac:dyDescent="0.35">
      <c r="A5" s="817" t="s">
        <v>623</v>
      </c>
      <c r="B5" s="817"/>
      <c r="C5" s="817"/>
      <c r="D5" s="327"/>
      <c r="E5" s="327"/>
      <c r="F5" s="327"/>
      <c r="G5" s="328"/>
      <c r="H5" s="328"/>
    </row>
    <row r="6" spans="1:8" ht="14.25" customHeight="1" x14ac:dyDescent="0.35">
      <c r="A6" s="329"/>
      <c r="B6" s="329"/>
      <c r="C6" s="327"/>
      <c r="D6" s="327"/>
      <c r="E6" s="327"/>
      <c r="F6" s="327"/>
      <c r="G6" s="328"/>
      <c r="H6" s="328"/>
    </row>
    <row r="7" spans="1:8" x14ac:dyDescent="0.35">
      <c r="C7" s="234" t="s">
        <v>21</v>
      </c>
      <c r="F7" s="234"/>
    </row>
    <row r="8" spans="1:8" s="79" customFormat="1" x14ac:dyDescent="0.35">
      <c r="A8" s="83" t="s">
        <v>13</v>
      </c>
      <c r="B8" s="83" t="s">
        <v>14</v>
      </c>
      <c r="C8" s="94" t="s">
        <v>15</v>
      </c>
      <c r="D8" s="91"/>
    </row>
    <row r="9" spans="1:8" s="79" customFormat="1" x14ac:dyDescent="0.35">
      <c r="A9" s="83">
        <v>1</v>
      </c>
      <c r="B9" s="83">
        <v>2</v>
      </c>
      <c r="C9" s="96">
        <v>3</v>
      </c>
      <c r="D9" s="91"/>
    </row>
    <row r="10" spans="1:8" s="79" customFormat="1" x14ac:dyDescent="0.35">
      <c r="A10" s="85" t="s">
        <v>16</v>
      </c>
      <c r="B10" s="97" t="s">
        <v>325</v>
      </c>
      <c r="C10" s="98">
        <f>C11</f>
        <v>2779.2</v>
      </c>
      <c r="D10" s="113"/>
    </row>
    <row r="11" spans="1:8" s="79" customFormat="1" ht="36" x14ac:dyDescent="0.35">
      <c r="A11" s="83" t="s">
        <v>17</v>
      </c>
      <c r="B11" s="108" t="s">
        <v>18</v>
      </c>
      <c r="C11" s="111">
        <f>C12</f>
        <v>2779.2</v>
      </c>
      <c r="D11" s="113"/>
    </row>
    <row r="12" spans="1:8" x14ac:dyDescent="0.35">
      <c r="A12" s="129" t="s">
        <v>428</v>
      </c>
      <c r="B12" s="279" t="s">
        <v>450</v>
      </c>
      <c r="C12" s="330">
        <f>C13</f>
        <v>2779.2</v>
      </c>
      <c r="D12" s="242"/>
      <c r="E12" s="242"/>
      <c r="F12" s="242"/>
    </row>
    <row r="13" spans="1:8" ht="72" x14ac:dyDescent="0.35">
      <c r="A13" s="129" t="s">
        <v>451</v>
      </c>
      <c r="B13" s="279" t="s">
        <v>452</v>
      </c>
      <c r="C13" s="330">
        <f>C14</f>
        <v>2779.2</v>
      </c>
      <c r="D13" s="242"/>
      <c r="E13" s="242"/>
      <c r="F13" s="242"/>
    </row>
    <row r="14" spans="1:8" ht="72" x14ac:dyDescent="0.35">
      <c r="A14" s="129" t="s">
        <v>416</v>
      </c>
      <c r="B14" s="279" t="s">
        <v>5</v>
      </c>
      <c r="C14" s="330">
        <f>C15+C28+C39</f>
        <v>2779.2</v>
      </c>
      <c r="D14" s="242"/>
      <c r="E14" s="242"/>
      <c r="F14" s="242"/>
    </row>
    <row r="15" spans="1:8" ht="23.25" customHeight="1" x14ac:dyDescent="0.35">
      <c r="A15" s="129"/>
      <c r="B15" s="279" t="s">
        <v>233</v>
      </c>
      <c r="C15" s="238">
        <f>SUM(C16:C27)</f>
        <v>1167.0999999999999</v>
      </c>
      <c r="D15" s="424" t="s">
        <v>521</v>
      </c>
      <c r="E15" s="242"/>
      <c r="F15" s="242"/>
    </row>
    <row r="16" spans="1:8" x14ac:dyDescent="0.35">
      <c r="A16" s="129"/>
      <c r="B16" s="578" t="s">
        <v>328</v>
      </c>
      <c r="C16" s="331">
        <v>665.5</v>
      </c>
      <c r="D16" s="425"/>
      <c r="E16" s="242"/>
      <c r="F16" s="242"/>
    </row>
    <row r="17" spans="1:6" x14ac:dyDescent="0.35">
      <c r="A17" s="129"/>
      <c r="B17" s="578" t="s">
        <v>329</v>
      </c>
      <c r="C17" s="331">
        <v>80.8</v>
      </c>
      <c r="D17" s="425"/>
      <c r="E17" s="242"/>
      <c r="F17" s="242"/>
    </row>
    <row r="18" spans="1:6" x14ac:dyDescent="0.35">
      <c r="A18" s="129"/>
      <c r="B18" s="578" t="s">
        <v>330</v>
      </c>
      <c r="C18" s="331">
        <v>207.3</v>
      </c>
      <c r="D18" s="425"/>
      <c r="E18" s="242"/>
      <c r="F18" s="242"/>
    </row>
    <row r="19" spans="1:6" x14ac:dyDescent="0.35">
      <c r="A19" s="129"/>
      <c r="B19" s="578" t="s">
        <v>331</v>
      </c>
      <c r="C19" s="331">
        <v>36</v>
      </c>
      <c r="D19" s="425"/>
      <c r="E19" s="242"/>
      <c r="F19" s="242"/>
    </row>
    <row r="20" spans="1:6" x14ac:dyDescent="0.35">
      <c r="A20" s="129"/>
      <c r="B20" s="578" t="s">
        <v>258</v>
      </c>
      <c r="C20" s="331">
        <v>28.8</v>
      </c>
      <c r="D20" s="425"/>
      <c r="E20" s="242"/>
      <c r="F20" s="242"/>
    </row>
    <row r="21" spans="1:6" x14ac:dyDescent="0.35">
      <c r="A21" s="129"/>
      <c r="B21" s="578" t="s">
        <v>332</v>
      </c>
      <c r="C21" s="331">
        <v>21</v>
      </c>
      <c r="D21" s="425"/>
      <c r="E21" s="242"/>
      <c r="F21" s="242"/>
    </row>
    <row r="22" spans="1:6" x14ac:dyDescent="0.35">
      <c r="A22" s="129"/>
      <c r="B22" s="578" t="s">
        <v>333</v>
      </c>
      <c r="C22" s="331">
        <v>25.9</v>
      </c>
      <c r="D22" s="425"/>
      <c r="E22" s="242"/>
      <c r="F22" s="242"/>
    </row>
    <row r="23" spans="1:6" x14ac:dyDescent="0.35">
      <c r="A23" s="129"/>
      <c r="B23" s="578" t="s">
        <v>260</v>
      </c>
      <c r="C23" s="331">
        <v>39.9</v>
      </c>
      <c r="D23" s="425"/>
      <c r="E23" s="242"/>
      <c r="F23" s="242"/>
    </row>
    <row r="24" spans="1:6" x14ac:dyDescent="0.35">
      <c r="A24" s="129"/>
      <c r="B24" s="578" t="s">
        <v>261</v>
      </c>
      <c r="C24" s="331">
        <v>14.3</v>
      </c>
      <c r="D24" s="425"/>
      <c r="E24" s="242"/>
      <c r="F24" s="242"/>
    </row>
    <row r="25" spans="1:6" x14ac:dyDescent="0.35">
      <c r="A25" s="129"/>
      <c r="B25" s="578" t="s">
        <v>262</v>
      </c>
      <c r="C25" s="331">
        <v>6.2</v>
      </c>
      <c r="D25" s="425"/>
      <c r="E25" s="242"/>
      <c r="F25" s="242"/>
    </row>
    <row r="26" spans="1:6" x14ac:dyDescent="0.35">
      <c r="A26" s="129"/>
      <c r="B26" s="578" t="s">
        <v>263</v>
      </c>
      <c r="C26" s="331">
        <v>21.6</v>
      </c>
      <c r="D26" s="425"/>
      <c r="E26" s="242"/>
      <c r="F26" s="242"/>
    </row>
    <row r="27" spans="1:6" x14ac:dyDescent="0.35">
      <c r="A27" s="129"/>
      <c r="B27" s="578" t="s">
        <v>264</v>
      </c>
      <c r="C27" s="331">
        <v>19.8</v>
      </c>
      <c r="D27" s="425"/>
      <c r="E27" s="242"/>
      <c r="F27" s="242"/>
    </row>
    <row r="28" spans="1:6" x14ac:dyDescent="0.35">
      <c r="A28" s="129"/>
      <c r="B28" s="279" t="s">
        <v>673</v>
      </c>
      <c r="C28" s="238">
        <f>SUM(C29:C38)</f>
        <v>577</v>
      </c>
      <c r="D28" s="424" t="s">
        <v>522</v>
      </c>
      <c r="E28" s="242"/>
      <c r="F28" s="242"/>
    </row>
    <row r="29" spans="1:6" x14ac:dyDescent="0.35">
      <c r="A29" s="129"/>
      <c r="B29" s="578" t="s">
        <v>329</v>
      </c>
      <c r="C29" s="589">
        <v>90</v>
      </c>
      <c r="D29" s="425"/>
      <c r="E29" s="242"/>
      <c r="F29" s="242"/>
    </row>
    <row r="30" spans="1:6" x14ac:dyDescent="0.35">
      <c r="A30" s="129"/>
      <c r="B30" s="578" t="s">
        <v>331</v>
      </c>
      <c r="C30" s="589">
        <v>70</v>
      </c>
      <c r="D30" s="425"/>
      <c r="E30" s="242"/>
      <c r="F30" s="242"/>
    </row>
    <row r="31" spans="1:6" x14ac:dyDescent="0.35">
      <c r="A31" s="129"/>
      <c r="B31" s="578" t="s">
        <v>258</v>
      </c>
      <c r="C31" s="589">
        <v>130</v>
      </c>
      <c r="D31" s="425"/>
      <c r="E31" s="242"/>
      <c r="F31" s="242"/>
    </row>
    <row r="32" spans="1:6" x14ac:dyDescent="0.35">
      <c r="A32" s="129"/>
      <c r="B32" s="578" t="s">
        <v>332</v>
      </c>
      <c r="C32" s="589">
        <v>72</v>
      </c>
      <c r="D32" s="425"/>
      <c r="E32" s="242"/>
      <c r="F32" s="242"/>
    </row>
    <row r="33" spans="1:6" x14ac:dyDescent="0.35">
      <c r="A33" s="129"/>
      <c r="B33" s="578" t="s">
        <v>333</v>
      </c>
      <c r="C33" s="589">
        <v>30</v>
      </c>
      <c r="D33" s="425"/>
      <c r="E33" s="242"/>
      <c r="F33" s="242"/>
    </row>
    <row r="34" spans="1:6" x14ac:dyDescent="0.35">
      <c r="A34" s="129"/>
      <c r="B34" s="578" t="s">
        <v>260</v>
      </c>
      <c r="C34" s="589">
        <v>15</v>
      </c>
      <c r="D34" s="425"/>
      <c r="E34" s="242"/>
      <c r="F34" s="242"/>
    </row>
    <row r="35" spans="1:6" x14ac:dyDescent="0.35">
      <c r="A35" s="129"/>
      <c r="B35" s="578" t="s">
        <v>261</v>
      </c>
      <c r="C35" s="589">
        <v>75</v>
      </c>
      <c r="D35" s="425"/>
      <c r="E35" s="242"/>
      <c r="F35" s="242"/>
    </row>
    <row r="36" spans="1:6" x14ac:dyDescent="0.35">
      <c r="A36" s="129"/>
      <c r="B36" s="578" t="s">
        <v>262</v>
      </c>
      <c r="C36" s="331">
        <v>5</v>
      </c>
      <c r="D36" s="425"/>
      <c r="E36" s="242"/>
      <c r="F36" s="242"/>
    </row>
    <row r="37" spans="1:6" x14ac:dyDescent="0.35">
      <c r="A37" s="129"/>
      <c r="B37" s="578" t="s">
        <v>263</v>
      </c>
      <c r="C37" s="589">
        <v>70</v>
      </c>
      <c r="D37" s="425"/>
      <c r="E37" s="242"/>
      <c r="F37" s="242"/>
    </row>
    <row r="38" spans="1:6" x14ac:dyDescent="0.35">
      <c r="A38" s="129"/>
      <c r="B38" s="578" t="s">
        <v>264</v>
      </c>
      <c r="C38" s="589">
        <v>20</v>
      </c>
      <c r="D38" s="425"/>
      <c r="E38" s="242"/>
      <c r="F38" s="242"/>
    </row>
    <row r="39" spans="1:6" s="695" customFormat="1" ht="21" customHeight="1" x14ac:dyDescent="0.35">
      <c r="A39" s="691"/>
      <c r="B39" s="709" t="s">
        <v>604</v>
      </c>
      <c r="C39" s="692">
        <f>SUM(C40:C44)</f>
        <v>1035.0999999999999</v>
      </c>
      <c r="D39" s="693"/>
      <c r="E39" s="694"/>
    </row>
    <row r="40" spans="1:6" s="695" customFormat="1" x14ac:dyDescent="0.35">
      <c r="A40" s="725"/>
      <c r="B40" s="578" t="s">
        <v>329</v>
      </c>
      <c r="C40" s="331">
        <v>219.4</v>
      </c>
      <c r="D40" s="693"/>
      <c r="E40" s="694"/>
    </row>
    <row r="41" spans="1:6" s="695" customFormat="1" x14ac:dyDescent="0.35">
      <c r="A41" s="725"/>
      <c r="B41" s="578" t="s">
        <v>330</v>
      </c>
      <c r="C41" s="331">
        <v>556.1</v>
      </c>
      <c r="D41" s="693"/>
      <c r="E41" s="694"/>
    </row>
    <row r="42" spans="1:6" s="695" customFormat="1" x14ac:dyDescent="0.35">
      <c r="A42" s="725"/>
      <c r="B42" s="578" t="s">
        <v>331</v>
      </c>
      <c r="C42" s="331">
        <v>102.8</v>
      </c>
      <c r="D42" s="693"/>
      <c r="E42" s="694"/>
    </row>
    <row r="43" spans="1:6" s="695" customFormat="1" x14ac:dyDescent="0.35">
      <c r="A43" s="725"/>
      <c r="B43" s="578" t="s">
        <v>332</v>
      </c>
      <c r="C43" s="331">
        <v>78.8</v>
      </c>
      <c r="D43" s="693"/>
      <c r="E43" s="694"/>
    </row>
    <row r="44" spans="1:6" s="695" customFormat="1" x14ac:dyDescent="0.35">
      <c r="A44" s="725"/>
      <c r="B44" s="578" t="s">
        <v>264</v>
      </c>
      <c r="C44" s="331">
        <v>78</v>
      </c>
      <c r="D44" s="693"/>
      <c r="E44" s="694"/>
    </row>
    <row r="45" spans="1:6" ht="30.6" customHeight="1" x14ac:dyDescent="0.35">
      <c r="A45" s="577"/>
      <c r="B45" s="332"/>
      <c r="C45" s="333"/>
      <c r="D45" s="425"/>
      <c r="E45" s="242"/>
      <c r="F45" s="242"/>
    </row>
    <row r="46" spans="1:6" x14ac:dyDescent="0.35">
      <c r="A46" s="545" t="s">
        <v>396</v>
      </c>
      <c r="C46" s="158" t="s">
        <v>409</v>
      </c>
      <c r="D46" s="320"/>
      <c r="E46" s="320"/>
      <c r="F46" s="335"/>
    </row>
    <row r="47" spans="1:6" x14ac:dyDescent="0.35">
      <c r="A47" s="545" t="s">
        <v>397</v>
      </c>
    </row>
    <row r="48" spans="1:6" x14ac:dyDescent="0.35">
      <c r="A48" s="546" t="s">
        <v>398</v>
      </c>
    </row>
  </sheetData>
  <mergeCells count="1">
    <mergeCell ref="A5:C5"/>
  </mergeCells>
  <printOptions horizontalCentered="1"/>
  <pageMargins left="1.1811023622047245" right="0.39370078740157483" top="0.6692913385826772" bottom="0.19685039370078741" header="0" footer="0"/>
  <pageSetup paperSize="9" scale="69" fitToHeight="0" orientation="portrait" blackAndWhite="1" r:id="rId1"/>
  <headerFooter differentFirst="1" alignWithMargins="0">
    <oddHeader>&amp;C&amp;"Times New Roman,обычный"&amp;12&amp;P</oddHeader>
  </headerFooter>
  <colBreaks count="1" manualBreakCount="1">
    <brk id="6"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pageSetUpPr fitToPage="1"/>
  </sheetPr>
  <dimension ref="A1:I63"/>
  <sheetViews>
    <sheetView topLeftCell="A37" zoomScale="90" zoomScaleNormal="90" zoomScaleSheetLayoutView="80" workbookViewId="0">
      <selection activeCell="G1" sqref="G1:I1048576"/>
    </sheetView>
  </sheetViews>
  <sheetFormatPr defaultColWidth="9.109375" defaultRowHeight="18" x14ac:dyDescent="0.35"/>
  <cols>
    <col min="1" max="1" width="6.109375" style="353" customWidth="1"/>
    <col min="2" max="2" width="9.109375" style="353" customWidth="1"/>
    <col min="3" max="3" width="59.88671875" style="353" customWidth="1"/>
    <col min="4" max="4" width="18.6640625" style="354" customWidth="1"/>
    <col min="5" max="5" width="15.33203125" style="353" customWidth="1"/>
    <col min="6" max="6" width="14.33203125" style="353" customWidth="1"/>
    <col min="7" max="7" width="11.109375" style="353" hidden="1" customWidth="1"/>
    <col min="8" max="9" width="11.33203125" style="353" hidden="1" customWidth="1"/>
    <col min="10" max="16384" width="9.109375" style="353"/>
  </cols>
  <sheetData>
    <row r="1" spans="1:9" x14ac:dyDescent="0.35">
      <c r="F1" s="205" t="s">
        <v>652</v>
      </c>
    </row>
    <row r="2" spans="1:9" x14ac:dyDescent="0.35">
      <c r="F2" s="205" t="s">
        <v>695</v>
      </c>
    </row>
    <row r="3" spans="1:9" x14ac:dyDescent="0.35">
      <c r="F3" s="205"/>
    </row>
    <row r="5" spans="1:9" x14ac:dyDescent="0.35">
      <c r="A5" s="821" t="s">
        <v>157</v>
      </c>
      <c r="B5" s="821"/>
      <c r="C5" s="821"/>
      <c r="D5" s="821"/>
      <c r="E5" s="821"/>
      <c r="F5" s="821"/>
    </row>
    <row r="6" spans="1:9" x14ac:dyDescent="0.35">
      <c r="A6" s="821" t="s">
        <v>624</v>
      </c>
      <c r="B6" s="821"/>
      <c r="C6" s="821"/>
      <c r="D6" s="821"/>
      <c r="E6" s="821"/>
      <c r="F6" s="821"/>
    </row>
    <row r="7" spans="1:9" x14ac:dyDescent="0.35">
      <c r="D7" s="353"/>
    </row>
    <row r="8" spans="1:9" x14ac:dyDescent="0.35">
      <c r="D8" s="353"/>
      <c r="F8" s="355" t="s">
        <v>21</v>
      </c>
    </row>
    <row r="9" spans="1:9" ht="22.95" customHeight="1" x14ac:dyDescent="0.35">
      <c r="A9" s="822" t="s">
        <v>158</v>
      </c>
      <c r="B9" s="824" t="s">
        <v>344</v>
      </c>
      <c r="C9" s="824" t="s">
        <v>23</v>
      </c>
      <c r="D9" s="818" t="s">
        <v>15</v>
      </c>
      <c r="E9" s="819"/>
      <c r="F9" s="820"/>
    </row>
    <row r="10" spans="1:9" x14ac:dyDescent="0.35">
      <c r="A10" s="823"/>
      <c r="B10" s="825"/>
      <c r="C10" s="825"/>
      <c r="D10" s="235" t="s">
        <v>514</v>
      </c>
      <c r="E10" s="235" t="s">
        <v>578</v>
      </c>
      <c r="F10" s="235" t="s">
        <v>621</v>
      </c>
    </row>
    <row r="11" spans="1:9" x14ac:dyDescent="0.35">
      <c r="A11" s="285">
        <v>1</v>
      </c>
      <c r="B11" s="285">
        <v>2</v>
      </c>
      <c r="C11" s="285">
        <v>3</v>
      </c>
      <c r="D11" s="286">
        <v>4</v>
      </c>
      <c r="E11" s="374">
        <v>5</v>
      </c>
      <c r="F11" s="374">
        <v>6</v>
      </c>
    </row>
    <row r="12" spans="1:9" x14ac:dyDescent="0.35">
      <c r="A12" s="304"/>
      <c r="B12" s="304"/>
      <c r="C12" s="357" t="s">
        <v>159</v>
      </c>
      <c r="D12" s="358">
        <f>D14+D21+D24+D28+D31+D38+D41+D53+D46+D56+D51</f>
        <v>2429707.2739700004</v>
      </c>
      <c r="E12" s="358">
        <f>E14+E21+E24+E28+E31+E38+E41+E53+E46+E56</f>
        <v>2079560.3999999994</v>
      </c>
      <c r="F12" s="358">
        <f>F14+F21+F24+F28+F31+F38+F41+F53+F46+F56</f>
        <v>2148415</v>
      </c>
      <c r="G12" s="359">
        <f>D12-'прил8 (ведом 24)'!M11</f>
        <v>1.0000000707805157E-2</v>
      </c>
      <c r="H12" s="359">
        <f>E12-'прил9 (ведом 25-26)'!M13</f>
        <v>0</v>
      </c>
      <c r="I12" s="359">
        <f>F12-'прил9 (ведом 25-26)'!N13</f>
        <v>0</v>
      </c>
    </row>
    <row r="13" spans="1:9" x14ac:dyDescent="0.35">
      <c r="A13" s="304"/>
      <c r="B13" s="304"/>
      <c r="C13" s="360" t="s">
        <v>160</v>
      </c>
      <c r="D13" s="253"/>
      <c r="E13" s="370"/>
      <c r="F13" s="356"/>
    </row>
    <row r="14" spans="1:9" x14ac:dyDescent="0.35">
      <c r="A14" s="288">
        <v>1</v>
      </c>
      <c r="B14" s="361" t="s">
        <v>161</v>
      </c>
      <c r="C14" s="362" t="s">
        <v>35</v>
      </c>
      <c r="D14" s="290">
        <f>SUM(D15:D20)</f>
        <v>267024.25641999999</v>
      </c>
      <c r="E14" s="290">
        <f>SUM(E15:E20)</f>
        <v>255064.82529999997</v>
      </c>
      <c r="F14" s="290">
        <f>SUM(F15:F20)</f>
        <v>245988.40590000001</v>
      </c>
    </row>
    <row r="15" spans="1:9" ht="54" x14ac:dyDescent="0.35">
      <c r="A15" s="291"/>
      <c r="B15" s="251" t="s">
        <v>162</v>
      </c>
      <c r="C15" s="252" t="s">
        <v>163</v>
      </c>
      <c r="D15" s="253">
        <f>'прил8 (ведом 24)'!M770</f>
        <v>2638.4</v>
      </c>
      <c r="E15" s="248">
        <f>'прил9 (ведом 25-26)'!M575</f>
        <v>2716.7</v>
      </c>
      <c r="F15" s="248">
        <f>'прил9 (ведом 25-26)'!N575</f>
        <v>2716.7</v>
      </c>
    </row>
    <row r="16" spans="1:9" ht="72" x14ac:dyDescent="0.35">
      <c r="A16" s="291"/>
      <c r="B16" s="251" t="s">
        <v>164</v>
      </c>
      <c r="C16" s="252" t="s">
        <v>669</v>
      </c>
      <c r="D16" s="253">
        <f>'прил8 (ведом 24)'!M771+0.01</f>
        <v>85318.283999999985</v>
      </c>
      <c r="E16" s="248">
        <f>'прил9 (ведом 25-26)'!M576</f>
        <v>87889.5</v>
      </c>
      <c r="F16" s="248">
        <f>'прил9 (ведом 25-26)'!N576</f>
        <v>87889.5</v>
      </c>
    </row>
    <row r="17" spans="1:8" x14ac:dyDescent="0.35">
      <c r="A17" s="291"/>
      <c r="B17" s="251" t="s">
        <v>410</v>
      </c>
      <c r="C17" s="265" t="s">
        <v>405</v>
      </c>
      <c r="D17" s="253">
        <f>'прил8 (ведом 24)'!M772</f>
        <v>8.6</v>
      </c>
      <c r="E17" s="248">
        <f>'прил9 (ведом 25-26)'!M577</f>
        <v>8.9</v>
      </c>
      <c r="F17" s="248">
        <f>'прил9 (ведом 25-26)'!N577</f>
        <v>85.9</v>
      </c>
    </row>
    <row r="18" spans="1:8" ht="54" x14ac:dyDescent="0.35">
      <c r="A18" s="291"/>
      <c r="B18" s="251" t="s">
        <v>165</v>
      </c>
      <c r="C18" s="252" t="s">
        <v>128</v>
      </c>
      <c r="D18" s="253">
        <f>'прил8 (ведом 24)'!M773</f>
        <v>39489.199999999997</v>
      </c>
      <c r="E18" s="248">
        <f>'прил9 (ведом 25-26)'!M578</f>
        <v>40609.699999999997</v>
      </c>
      <c r="F18" s="248">
        <f>'прил9 (ведом 25-26)'!N578</f>
        <v>40610.600000000006</v>
      </c>
    </row>
    <row r="19" spans="1:8" x14ac:dyDescent="0.35">
      <c r="A19" s="291"/>
      <c r="B19" s="251" t="s">
        <v>166</v>
      </c>
      <c r="C19" s="252" t="s">
        <v>64</v>
      </c>
      <c r="D19" s="253">
        <f>'прил8 (ведом 24)'!M774</f>
        <v>20349.809049999996</v>
      </c>
      <c r="E19" s="248">
        <f>'прил9 (ведом 25-26)'!M579</f>
        <v>25000</v>
      </c>
      <c r="F19" s="248">
        <f>'прил9 (ведом 25-26)'!N579</f>
        <v>15000</v>
      </c>
    </row>
    <row r="20" spans="1:8" x14ac:dyDescent="0.35">
      <c r="A20" s="291"/>
      <c r="B20" s="251" t="s">
        <v>167</v>
      </c>
      <c r="C20" s="252" t="s">
        <v>68</v>
      </c>
      <c r="D20" s="253">
        <f>'прил8 (ведом 24)'!M775</f>
        <v>119219.96336999998</v>
      </c>
      <c r="E20" s="248">
        <f>'прил9 (ведом 25-26)'!M580</f>
        <v>98840.025299999994</v>
      </c>
      <c r="F20" s="248">
        <f>'прил9 (ведом 25-26)'!N580</f>
        <v>99685.705900000001</v>
      </c>
    </row>
    <row r="21" spans="1:8" ht="35.4" x14ac:dyDescent="0.35">
      <c r="A21" s="288">
        <v>2</v>
      </c>
      <c r="B21" s="361" t="s">
        <v>168</v>
      </c>
      <c r="C21" s="362" t="s">
        <v>76</v>
      </c>
      <c r="D21" s="290">
        <f>SUM(D22:D23)</f>
        <v>25632.83913</v>
      </c>
      <c r="E21" s="290">
        <f>SUM(E22:E23)</f>
        <v>14790.1</v>
      </c>
      <c r="F21" s="290">
        <f>SUM(F22:F23)</f>
        <v>14790.6</v>
      </c>
    </row>
    <row r="22" spans="1:8" ht="54" x14ac:dyDescent="0.35">
      <c r="A22" s="291"/>
      <c r="B22" s="251" t="s">
        <v>481</v>
      </c>
      <c r="C22" s="252" t="s">
        <v>482</v>
      </c>
      <c r="D22" s="253">
        <f>'прил8 (ведом 24)'!M778</f>
        <v>11531.6</v>
      </c>
      <c r="E22" s="248">
        <f>'прил9 (ведом 25-26)'!M583</f>
        <v>362.29999999999995</v>
      </c>
      <c r="F22" s="248">
        <f>'прил9 (ведом 25-26)'!N583</f>
        <v>362.29999999999995</v>
      </c>
    </row>
    <row r="23" spans="1:8" ht="36" x14ac:dyDescent="0.35">
      <c r="A23" s="291"/>
      <c r="B23" s="251" t="s">
        <v>169</v>
      </c>
      <c r="C23" s="252" t="s">
        <v>85</v>
      </c>
      <c r="D23" s="253">
        <f>'прил8 (ведом 24)'!M779</f>
        <v>14101.23913</v>
      </c>
      <c r="E23" s="248">
        <f>'прил9 (ведом 25-26)'!M584</f>
        <v>14427.800000000001</v>
      </c>
      <c r="F23" s="248">
        <f>'прил9 (ведом 25-26)'!N584</f>
        <v>14428.300000000001</v>
      </c>
    </row>
    <row r="24" spans="1:8" x14ac:dyDescent="0.35">
      <c r="A24" s="288">
        <v>3</v>
      </c>
      <c r="B24" s="361" t="s">
        <v>170</v>
      </c>
      <c r="C24" s="362" t="s">
        <v>90</v>
      </c>
      <c r="D24" s="290">
        <f>SUM(D25:D27)</f>
        <v>38117.616889999998</v>
      </c>
      <c r="E24" s="290">
        <f>SUM(E25:E27)</f>
        <v>32348.299999999996</v>
      </c>
      <c r="F24" s="290">
        <f>SUM(F25:F27)</f>
        <v>32769.4</v>
      </c>
      <c r="H24" s="544"/>
    </row>
    <row r="25" spans="1:8" x14ac:dyDescent="0.35">
      <c r="A25" s="288"/>
      <c r="B25" s="251" t="s">
        <v>171</v>
      </c>
      <c r="C25" s="252" t="s">
        <v>91</v>
      </c>
      <c r="D25" s="253">
        <f>'прил8 (ведом 24)'!M782</f>
        <v>24038.799999999999</v>
      </c>
      <c r="E25" s="248">
        <f>'прил9 (ведом 25-26)'!M587</f>
        <v>24038.799999999999</v>
      </c>
      <c r="F25" s="248">
        <f>'прил9 (ведом 25-26)'!N587</f>
        <v>24170.7</v>
      </c>
    </row>
    <row r="26" spans="1:8" x14ac:dyDescent="0.35">
      <c r="A26" s="291"/>
      <c r="B26" s="251" t="s">
        <v>172</v>
      </c>
      <c r="C26" s="252" t="s">
        <v>96</v>
      </c>
      <c r="D26" s="253">
        <f>'прил8 (ведом 24)'!M783</f>
        <v>10949.71689</v>
      </c>
      <c r="E26" s="248">
        <f>'прил9 (ведом 25-26)'!M588</f>
        <v>7183.4</v>
      </c>
      <c r="F26" s="248">
        <f>'прил9 (ведом 25-26)'!N588</f>
        <v>7472.6</v>
      </c>
    </row>
    <row r="27" spans="1:8" x14ac:dyDescent="0.35">
      <c r="A27" s="291"/>
      <c r="B27" s="251" t="s">
        <v>173</v>
      </c>
      <c r="C27" s="252" t="s">
        <v>104</v>
      </c>
      <c r="D27" s="253">
        <f>'прил8 (ведом 24)'!M784</f>
        <v>3129.1</v>
      </c>
      <c r="E27" s="248">
        <f>'прил9 (ведом 25-26)'!M589</f>
        <v>1126.0999999999999</v>
      </c>
      <c r="F27" s="248">
        <f>'прил9 (ведом 25-26)'!N589</f>
        <v>1126.0999999999999</v>
      </c>
      <c r="G27" s="544"/>
    </row>
    <row r="28" spans="1:8" x14ac:dyDescent="0.35">
      <c r="A28" s="288">
        <v>4</v>
      </c>
      <c r="B28" s="361" t="s">
        <v>174</v>
      </c>
      <c r="C28" s="362" t="s">
        <v>175</v>
      </c>
      <c r="D28" s="290">
        <f>SUM(D29:D30)</f>
        <v>103186.1</v>
      </c>
      <c r="E28" s="290">
        <f>SUM(E29:E30)</f>
        <v>0</v>
      </c>
      <c r="F28" s="290">
        <f>SUM(F29:F30)</f>
        <v>0</v>
      </c>
    </row>
    <row r="29" spans="1:8" x14ac:dyDescent="0.35">
      <c r="A29" s="288"/>
      <c r="B29" s="251" t="s">
        <v>355</v>
      </c>
      <c r="C29" s="252" t="s">
        <v>353</v>
      </c>
      <c r="D29" s="253">
        <f>'прил8 (ведом 24)'!M788</f>
        <v>97055</v>
      </c>
      <c r="E29" s="253">
        <f>'прил9 (ведом 25-26)'!M593</f>
        <v>0</v>
      </c>
      <c r="F29" s="253">
        <f>'прил9 (ведом 25-26)'!N593</f>
        <v>0</v>
      </c>
    </row>
    <row r="30" spans="1:8" x14ac:dyDescent="0.35">
      <c r="A30" s="288"/>
      <c r="B30" s="251" t="s">
        <v>593</v>
      </c>
      <c r="C30" s="696" t="s">
        <v>591</v>
      </c>
      <c r="D30" s="253">
        <f>'прил8 (ведом 24)'!M790</f>
        <v>6131.1</v>
      </c>
      <c r="E30" s="253">
        <f>'прил9 (ведом 25-26)'!M594</f>
        <v>0</v>
      </c>
      <c r="F30" s="253">
        <f>'прил9 (ведом 25-26)'!N594</f>
        <v>0</v>
      </c>
    </row>
    <row r="31" spans="1:8" x14ac:dyDescent="0.35">
      <c r="A31" s="288">
        <v>5</v>
      </c>
      <c r="B31" s="361" t="s">
        <v>176</v>
      </c>
      <c r="C31" s="362" t="s">
        <v>177</v>
      </c>
      <c r="D31" s="290">
        <f>SUM(D32:D37)</f>
        <v>1594378.2734300001</v>
      </c>
      <c r="E31" s="290">
        <f>SUM(E32:E37)</f>
        <v>1463406.4999999998</v>
      </c>
      <c r="F31" s="290">
        <f>SUM(F32:F37)</f>
        <v>1493437.3</v>
      </c>
    </row>
    <row r="32" spans="1:8" x14ac:dyDescent="0.35">
      <c r="A32" s="291"/>
      <c r="B32" s="251" t="s">
        <v>178</v>
      </c>
      <c r="C32" s="252" t="s">
        <v>179</v>
      </c>
      <c r="D32" s="253">
        <f>'прил8 (ведом 24)'!M793</f>
        <v>463129.82999999996</v>
      </c>
      <c r="E32" s="253">
        <f>'прил9 (ведом 25-26)'!M597</f>
        <v>438087.69999999995</v>
      </c>
      <c r="F32" s="253">
        <f>'прил9 (ведом 25-26)'!N597</f>
        <v>448407.1</v>
      </c>
    </row>
    <row r="33" spans="1:6" x14ac:dyDescent="0.35">
      <c r="A33" s="291"/>
      <c r="B33" s="251" t="s">
        <v>180</v>
      </c>
      <c r="C33" s="252" t="s">
        <v>181</v>
      </c>
      <c r="D33" s="253">
        <f>'прил8 (ведом 24)'!M794</f>
        <v>863526.89342999994</v>
      </c>
      <c r="E33" s="253">
        <f>'прил9 (ведом 25-26)'!M598</f>
        <v>787496.89999999991</v>
      </c>
      <c r="F33" s="253">
        <f>'прил9 (ведом 25-26)'!N598</f>
        <v>807394.70000000007</v>
      </c>
    </row>
    <row r="34" spans="1:6" x14ac:dyDescent="0.35">
      <c r="A34" s="291"/>
      <c r="B34" s="251" t="s">
        <v>368</v>
      </c>
      <c r="C34" s="252" t="s">
        <v>369</v>
      </c>
      <c r="D34" s="253">
        <f>'прил8 (ведом 24)'!M795</f>
        <v>155981.59999999998</v>
      </c>
      <c r="E34" s="253">
        <f>'прил9 (ведом 25-26)'!M599</f>
        <v>136274.90000000002</v>
      </c>
      <c r="F34" s="253">
        <f>'прил9 (ведом 25-26)'!N599</f>
        <v>135431.1</v>
      </c>
    </row>
    <row r="35" spans="1:6" ht="36" x14ac:dyDescent="0.35">
      <c r="A35" s="291"/>
      <c r="B35" s="251" t="s">
        <v>541</v>
      </c>
      <c r="C35" s="252" t="s">
        <v>542</v>
      </c>
      <c r="D35" s="253">
        <f>'прил8 (ведом 24)'!M796</f>
        <v>400.5</v>
      </c>
      <c r="E35" s="253">
        <f>'прил9 (ведом 25-26)'!M600</f>
        <v>179.89999999999998</v>
      </c>
      <c r="F35" s="253">
        <f>'прил9 (ведом 25-26)'!N600</f>
        <v>179.89999999999998</v>
      </c>
    </row>
    <row r="36" spans="1:6" x14ac:dyDescent="0.35">
      <c r="A36" s="288"/>
      <c r="B36" s="251" t="s">
        <v>182</v>
      </c>
      <c r="C36" s="252" t="s">
        <v>370</v>
      </c>
      <c r="D36" s="253">
        <f>'прил8 (ведом 24)'!M797</f>
        <v>6414.5999999999995</v>
      </c>
      <c r="E36" s="253">
        <f>'прил9 (ведом 25-26)'!M601</f>
        <v>4526.8999999999996</v>
      </c>
      <c r="F36" s="253">
        <f>'прил9 (ведом 25-26)'!N601</f>
        <v>4526.8999999999996</v>
      </c>
    </row>
    <row r="37" spans="1:6" x14ac:dyDescent="0.35">
      <c r="A37" s="291"/>
      <c r="B37" s="251" t="s">
        <v>183</v>
      </c>
      <c r="C37" s="252" t="s">
        <v>184</v>
      </c>
      <c r="D37" s="253">
        <f>'прил8 (ведом 24)'!M798</f>
        <v>104924.85000000003</v>
      </c>
      <c r="E37" s="253">
        <f>'прил9 (ведом 25-26)'!M602</f>
        <v>96840.200000000012</v>
      </c>
      <c r="F37" s="253">
        <f>'прил9 (ведом 25-26)'!N602</f>
        <v>97497.600000000006</v>
      </c>
    </row>
    <row r="38" spans="1:6" x14ac:dyDescent="0.35">
      <c r="A38" s="288">
        <v>6</v>
      </c>
      <c r="B38" s="361" t="s">
        <v>185</v>
      </c>
      <c r="C38" s="362" t="s">
        <v>186</v>
      </c>
      <c r="D38" s="290">
        <f>SUM(D39:D40)</f>
        <v>53550.3</v>
      </c>
      <c r="E38" s="290">
        <f>SUM(E39:E40)</f>
        <v>44213</v>
      </c>
      <c r="F38" s="290">
        <f>SUM(F39:F40)</f>
        <v>44197</v>
      </c>
    </row>
    <row r="39" spans="1:6" x14ac:dyDescent="0.35">
      <c r="A39" s="291"/>
      <c r="B39" s="251" t="s">
        <v>187</v>
      </c>
      <c r="C39" s="252" t="s">
        <v>188</v>
      </c>
      <c r="D39" s="253">
        <f>'прил8 (ведом 24)'!M801</f>
        <v>38812.600000000006</v>
      </c>
      <c r="E39" s="253">
        <f>'прил9 (ведом 25-26)'!M605</f>
        <v>32058.3</v>
      </c>
      <c r="F39" s="253">
        <f>'прил9 (ведом 25-26)'!N605</f>
        <v>32037.599999999999</v>
      </c>
    </row>
    <row r="40" spans="1:6" ht="18.75" customHeight="1" x14ac:dyDescent="0.35">
      <c r="A40" s="291"/>
      <c r="B40" s="251" t="s">
        <v>189</v>
      </c>
      <c r="C40" s="252" t="s">
        <v>190</v>
      </c>
      <c r="D40" s="253">
        <f>'прил8 (ведом 24)'!M802</f>
        <v>14737.699999999997</v>
      </c>
      <c r="E40" s="248">
        <f>'прил9 (ведом 25-26)'!M606</f>
        <v>12154.7</v>
      </c>
      <c r="F40" s="248">
        <f>'прил9 (ведом 25-26)'!N606</f>
        <v>12159.400000000001</v>
      </c>
    </row>
    <row r="41" spans="1:6" s="363" customFormat="1" ht="17.399999999999999" x14ac:dyDescent="0.3">
      <c r="A41" s="288">
        <v>7</v>
      </c>
      <c r="B41" s="288">
        <v>1000</v>
      </c>
      <c r="C41" s="362" t="s">
        <v>117</v>
      </c>
      <c r="D41" s="290">
        <f>SUM(D42:D45)</f>
        <v>166102.47809999998</v>
      </c>
      <c r="E41" s="290">
        <f>SUM(E42:E45)</f>
        <v>149320.97469999999</v>
      </c>
      <c r="F41" s="290">
        <f>SUM(F42:F45)</f>
        <v>148595.09409999999</v>
      </c>
    </row>
    <row r="42" spans="1:6" x14ac:dyDescent="0.35">
      <c r="A42" s="291"/>
      <c r="B42" s="291">
        <v>1001</v>
      </c>
      <c r="C42" s="252" t="s">
        <v>375</v>
      </c>
      <c r="D42" s="253">
        <f>'прил8 (ведом 24)'!M805</f>
        <v>1846.5</v>
      </c>
      <c r="E42" s="253">
        <f>'прил9 (ведом 25-26)'!M609</f>
        <v>1500</v>
      </c>
      <c r="F42" s="253">
        <f>'прил9 (ведом 25-26)'!N609</f>
        <v>1500</v>
      </c>
    </row>
    <row r="43" spans="1:6" x14ac:dyDescent="0.35">
      <c r="A43" s="291"/>
      <c r="B43" s="291">
        <v>1004</v>
      </c>
      <c r="C43" s="252" t="s">
        <v>191</v>
      </c>
      <c r="D43" s="253">
        <f>'прил8 (ведом 24)'!M807</f>
        <v>149058.57809999998</v>
      </c>
      <c r="E43" s="253">
        <f>'прил9 (ведом 25-26)'!M610</f>
        <v>137301.5747</v>
      </c>
      <c r="F43" s="253">
        <f>'прил9 (ведом 25-26)'!N610</f>
        <v>136049.99409999998</v>
      </c>
    </row>
    <row r="44" spans="1:6" x14ac:dyDescent="0.35">
      <c r="A44" s="291"/>
      <c r="B44" s="291">
        <v>1003</v>
      </c>
      <c r="C44" s="252" t="s">
        <v>746</v>
      </c>
      <c r="D44" s="253">
        <f>'прил8 (ведом 24)'!M806</f>
        <v>2779.5</v>
      </c>
      <c r="E44" s="253">
        <v>0</v>
      </c>
      <c r="F44" s="253">
        <v>0</v>
      </c>
    </row>
    <row r="45" spans="1:6" x14ac:dyDescent="0.35">
      <c r="A45" s="291"/>
      <c r="B45" s="291">
        <v>1006</v>
      </c>
      <c r="C45" s="252" t="s">
        <v>192</v>
      </c>
      <c r="D45" s="253">
        <f>'прил8 (ведом 24)'!M808</f>
        <v>12417.9</v>
      </c>
      <c r="E45" s="253">
        <f>'прил9 (ведом 25-26)'!M611</f>
        <v>10519.4</v>
      </c>
      <c r="F45" s="253">
        <f>'прил9 (ведом 25-26)'!N611</f>
        <v>11045.1</v>
      </c>
    </row>
    <row r="46" spans="1:6" x14ac:dyDescent="0.35">
      <c r="A46" s="288">
        <v>8</v>
      </c>
      <c r="B46" s="364">
        <v>1100</v>
      </c>
      <c r="C46" s="357" t="s">
        <v>193</v>
      </c>
      <c r="D46" s="290">
        <f>SUM(D47:D50)</f>
        <v>142364.41000000003</v>
      </c>
      <c r="E46" s="290">
        <f>SUM(E47:E50)</f>
        <v>67318</v>
      </c>
      <c r="F46" s="290">
        <f>SUM(F47:F50)</f>
        <v>66197.099999999991</v>
      </c>
    </row>
    <row r="47" spans="1:6" x14ac:dyDescent="0.35">
      <c r="A47" s="291"/>
      <c r="B47" s="365">
        <v>1101</v>
      </c>
      <c r="C47" s="366" t="s">
        <v>380</v>
      </c>
      <c r="D47" s="253">
        <f>'прил8 (ведом 24)'!M811</f>
        <v>32200.2</v>
      </c>
      <c r="E47" s="253">
        <f>'прил9 (ведом 25-26)'!M614</f>
        <v>4767.8999999999996</v>
      </c>
      <c r="F47" s="253">
        <f>'прил9 (ведом 25-26)'!N614</f>
        <v>4787.5999999999995</v>
      </c>
    </row>
    <row r="48" spans="1:6" x14ac:dyDescent="0.35">
      <c r="A48" s="288"/>
      <c r="B48" s="251" t="s">
        <v>194</v>
      </c>
      <c r="C48" s="293" t="s">
        <v>195</v>
      </c>
      <c r="D48" s="253">
        <f>'прил8 (ведом 24)'!M812</f>
        <v>31407.3</v>
      </c>
      <c r="E48" s="253">
        <f>'прил9 (ведом 25-26)'!M615</f>
        <v>910.6</v>
      </c>
      <c r="F48" s="253">
        <f>'прил9 (ведом 25-26)'!N615</f>
        <v>910.6</v>
      </c>
    </row>
    <row r="49" spans="1:8" x14ac:dyDescent="0.35">
      <c r="A49" s="288"/>
      <c r="B49" s="251" t="s">
        <v>612</v>
      </c>
      <c r="C49" s="293" t="s">
        <v>611</v>
      </c>
      <c r="D49" s="253">
        <f>'прил8 (ведом 24)'!M813</f>
        <v>75668.210000000006</v>
      </c>
      <c r="E49" s="253">
        <f>'прил9 (ведом 25-26)'!M616</f>
        <v>58459.7</v>
      </c>
      <c r="F49" s="253">
        <f>'прил9 (ведом 25-26)'!N616</f>
        <v>57318</v>
      </c>
    </row>
    <row r="50" spans="1:8" ht="36" x14ac:dyDescent="0.35">
      <c r="A50" s="291"/>
      <c r="B50" s="251" t="s">
        <v>196</v>
      </c>
      <c r="C50" s="298" t="s">
        <v>197</v>
      </c>
      <c r="D50" s="253">
        <f>'прил8 (ведом 24)'!M814</f>
        <v>3088.7000000000003</v>
      </c>
      <c r="E50" s="248">
        <f>'прил9 (ведом 25-26)'!M617</f>
        <v>3179.7999999999997</v>
      </c>
      <c r="F50" s="248">
        <f>'прил9 (ведом 25-26)'!N617</f>
        <v>3180.9</v>
      </c>
    </row>
    <row r="51" spans="1:8" ht="35.4" x14ac:dyDescent="0.35">
      <c r="A51" s="288">
        <v>9</v>
      </c>
      <c r="B51" s="361" t="s">
        <v>662</v>
      </c>
      <c r="C51" s="742" t="s">
        <v>656</v>
      </c>
      <c r="D51" s="290">
        <f>D52</f>
        <v>36</v>
      </c>
      <c r="E51" s="290">
        <f t="shared" ref="E51:F51" si="0">E52</f>
        <v>0</v>
      </c>
      <c r="F51" s="290">
        <f t="shared" si="0"/>
        <v>0</v>
      </c>
    </row>
    <row r="52" spans="1:8" ht="36" x14ac:dyDescent="0.35">
      <c r="A52" s="291"/>
      <c r="B52" s="251" t="s">
        <v>663</v>
      </c>
      <c r="C52" s="298" t="s">
        <v>657</v>
      </c>
      <c r="D52" s="253">
        <f>'прил8 (ведом 24)'!M817</f>
        <v>36</v>
      </c>
      <c r="E52" s="248">
        <v>0</v>
      </c>
      <c r="F52" s="248">
        <v>0</v>
      </c>
    </row>
    <row r="53" spans="1:8" ht="52.8" x14ac:dyDescent="0.35">
      <c r="A53" s="288">
        <v>10</v>
      </c>
      <c r="B53" s="364">
        <v>1400</v>
      </c>
      <c r="C53" s="362" t="s">
        <v>198</v>
      </c>
      <c r="D53" s="367">
        <f>SUM(D54:D55)</f>
        <v>39315</v>
      </c>
      <c r="E53" s="367">
        <f t="shared" ref="E53:F53" si="1">SUM(E54:E55)</f>
        <v>9000</v>
      </c>
      <c r="F53" s="367">
        <f t="shared" si="1"/>
        <v>9000</v>
      </c>
    </row>
    <row r="54" spans="1:8" ht="54" x14ac:dyDescent="0.35">
      <c r="A54" s="368"/>
      <c r="B54" s="365">
        <v>1401</v>
      </c>
      <c r="C54" s="252" t="s">
        <v>199</v>
      </c>
      <c r="D54" s="369">
        <f>'прил8 (ведом 24)'!M820</f>
        <v>9000</v>
      </c>
      <c r="E54" s="296">
        <f>'прил9 (ведом 25-26)'!M623</f>
        <v>9000</v>
      </c>
      <c r="F54" s="296">
        <f>'прил9 (ведом 25-26)'!N623</f>
        <v>9000</v>
      </c>
    </row>
    <row r="55" spans="1:8" ht="36" x14ac:dyDescent="0.35">
      <c r="A55" s="368"/>
      <c r="B55" s="365">
        <v>1403</v>
      </c>
      <c r="C55" s="252" t="s">
        <v>726</v>
      </c>
      <c r="D55" s="369">
        <f>'прил8 (ведом 24)'!M822</f>
        <v>30315</v>
      </c>
      <c r="E55" s="296">
        <v>0</v>
      </c>
      <c r="F55" s="296">
        <v>0</v>
      </c>
    </row>
    <row r="56" spans="1:8" s="254" customFormat="1" ht="17.399999999999999" x14ac:dyDescent="0.3">
      <c r="A56" s="287">
        <v>11</v>
      </c>
      <c r="B56" s="289"/>
      <c r="C56" s="249" t="s">
        <v>382</v>
      </c>
      <c r="D56" s="294">
        <f>SUM(D57:D57)</f>
        <v>0</v>
      </c>
      <c r="E56" s="294">
        <f>SUM(E57:E57)</f>
        <v>44098.7</v>
      </c>
      <c r="F56" s="294">
        <f>SUM(F57:F57)</f>
        <v>93440.1</v>
      </c>
    </row>
    <row r="57" spans="1:8" s="254" customFormat="1" x14ac:dyDescent="0.35">
      <c r="A57" s="295"/>
      <c r="B57" s="292"/>
      <c r="C57" s="250" t="s">
        <v>382</v>
      </c>
      <c r="D57" s="296">
        <v>0</v>
      </c>
      <c r="E57" s="296">
        <f>'прил9 (ведом 25-26)'!M626</f>
        <v>44098.7</v>
      </c>
      <c r="F57" s="296">
        <f>'прил9 (ведом 25-26)'!N626</f>
        <v>93440.1</v>
      </c>
    </row>
    <row r="59" spans="1:8" ht="22.95" customHeight="1" x14ac:dyDescent="0.35"/>
    <row r="60" spans="1:8" s="373" customFormat="1" x14ac:dyDescent="0.35">
      <c r="A60" s="785" t="s">
        <v>396</v>
      </c>
      <c r="B60" s="788"/>
      <c r="C60" s="371"/>
      <c r="D60" s="789"/>
      <c r="E60" s="371"/>
      <c r="F60" s="371"/>
      <c r="G60" s="88"/>
      <c r="H60" s="372"/>
    </row>
    <row r="61" spans="1:8" s="373" customFormat="1" x14ac:dyDescent="0.35">
      <c r="A61" s="785" t="s">
        <v>397</v>
      </c>
      <c r="B61" s="788"/>
      <c r="C61" s="371"/>
      <c r="D61" s="789"/>
      <c r="E61" s="371"/>
      <c r="F61" s="371"/>
      <c r="G61" s="88"/>
      <c r="H61" s="372"/>
    </row>
    <row r="62" spans="1:8" s="373" customFormat="1" x14ac:dyDescent="0.35">
      <c r="A62" s="787" t="s">
        <v>398</v>
      </c>
      <c r="B62" s="788"/>
      <c r="D62" s="790"/>
      <c r="E62" s="371"/>
      <c r="F62" s="734" t="s">
        <v>409</v>
      </c>
    </row>
    <row r="63" spans="1:8" x14ac:dyDescent="0.35">
      <c r="A63" s="730"/>
    </row>
  </sheetData>
  <autoFilter ref="A1:A62"/>
  <mergeCells count="6">
    <mergeCell ref="D9:F9"/>
    <mergeCell ref="A5:F5"/>
    <mergeCell ref="A6:F6"/>
    <mergeCell ref="A9:A10"/>
    <mergeCell ref="B9:B10"/>
    <mergeCell ref="C9:C10"/>
  </mergeCells>
  <printOptions horizontalCentered="1"/>
  <pageMargins left="1.1811023622047245" right="0.39370078740157483" top="0.78740157480314965" bottom="0.78740157480314965" header="0" footer="0"/>
  <pageSetup paperSize="9" scale="69" fitToHeight="0" orientation="portrait" blackAndWhite="1" r:id="rId1"/>
  <headerFooter differentFirst="1" alignWithMargins="0">
    <oddHeader>&amp;C&amp;"Times New Roman,обычный"&amp;12&amp;P</oddHeader>
  </headerFooter>
  <rowBreaks count="1" manualBreakCount="1">
    <brk id="40" max="5"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CCC"/>
  </sheetPr>
  <dimension ref="A1:J566"/>
  <sheetViews>
    <sheetView zoomScale="80" zoomScaleNormal="80" zoomScaleSheetLayoutView="80" workbookViewId="0">
      <pane xSplit="1" ySplit="3" topLeftCell="B487" activePane="bottomRight" state="frozen"/>
      <selection activeCell="D38" sqref="D38"/>
      <selection pane="topRight" activeCell="D38" sqref="D38"/>
      <selection pane="bottomLeft" activeCell="D38" sqref="D38"/>
      <selection pane="bottomRight" activeCell="N552" sqref="N552"/>
    </sheetView>
  </sheetViews>
  <sheetFormatPr defaultColWidth="9.109375" defaultRowHeight="15.6" x14ac:dyDescent="0.3"/>
  <cols>
    <col min="1" max="1" width="4.5546875" style="428" customWidth="1"/>
    <col min="2" max="2" width="62.44140625" style="500" customWidth="1"/>
    <col min="3" max="3" width="3.109375" style="501" customWidth="1"/>
    <col min="4" max="4" width="2" style="501" customWidth="1"/>
    <col min="5" max="5" width="3.109375" style="501" customWidth="1"/>
    <col min="6" max="6" width="8.6640625" style="501" customWidth="1"/>
    <col min="7" max="7" width="5.5546875" style="499" customWidth="1"/>
    <col min="8" max="8" width="15.6640625" style="429" customWidth="1"/>
    <col min="9" max="9" width="9.109375" style="90" customWidth="1"/>
    <col min="10" max="10" width="17.6640625" style="90" hidden="1" customWidth="1"/>
    <col min="11" max="14" width="9.109375" style="90"/>
    <col min="15" max="15" width="58.6640625" style="90" customWidth="1"/>
    <col min="16" max="16384" width="9.109375" style="90"/>
  </cols>
  <sheetData>
    <row r="1" spans="1:10" ht="18" x14ac:dyDescent="0.35">
      <c r="H1" s="205" t="s">
        <v>527</v>
      </c>
    </row>
    <row r="2" spans="1:10" ht="18" x14ac:dyDescent="0.35">
      <c r="H2" s="205" t="s">
        <v>695</v>
      </c>
    </row>
    <row r="3" spans="1:10" ht="18" x14ac:dyDescent="0.35">
      <c r="H3" s="205"/>
    </row>
    <row r="5" spans="1:10" ht="72" customHeight="1" x14ac:dyDescent="0.3">
      <c r="A5" s="826" t="s">
        <v>625</v>
      </c>
      <c r="B5" s="826"/>
      <c r="C5" s="826"/>
      <c r="D5" s="826"/>
      <c r="E5" s="826"/>
      <c r="F5" s="826"/>
      <c r="G5" s="826"/>
      <c r="H5" s="826"/>
    </row>
    <row r="6" spans="1:10" x14ac:dyDescent="0.3">
      <c r="A6" s="90"/>
      <c r="B6" s="90"/>
      <c r="C6" s="428"/>
      <c r="D6" s="428"/>
      <c r="E6" s="428"/>
      <c r="F6" s="428"/>
      <c r="G6" s="429"/>
    </row>
    <row r="7" spans="1:10" ht="18" x14ac:dyDescent="0.35">
      <c r="A7" s="430"/>
      <c r="B7" s="86"/>
      <c r="C7" s="87"/>
      <c r="D7" s="87"/>
      <c r="E7" s="87"/>
      <c r="F7" s="87"/>
      <c r="G7" s="90"/>
      <c r="H7" s="503" t="s">
        <v>21</v>
      </c>
    </row>
    <row r="8" spans="1:10" ht="37.200000000000003" customHeight="1" x14ac:dyDescent="0.3">
      <c r="A8" s="796" t="s">
        <v>22</v>
      </c>
      <c r="B8" s="797" t="s">
        <v>23</v>
      </c>
      <c r="C8" s="827" t="s">
        <v>27</v>
      </c>
      <c r="D8" s="828"/>
      <c r="E8" s="828"/>
      <c r="F8" s="829"/>
      <c r="G8" s="797" t="s">
        <v>28</v>
      </c>
      <c r="H8" s="504" t="s">
        <v>15</v>
      </c>
    </row>
    <row r="9" spans="1:10" ht="18" x14ac:dyDescent="0.35">
      <c r="A9" s="285">
        <v>1</v>
      </c>
      <c r="B9" s="433">
        <v>2</v>
      </c>
      <c r="C9" s="830" t="s">
        <v>29</v>
      </c>
      <c r="D9" s="831"/>
      <c r="E9" s="831"/>
      <c r="F9" s="832"/>
      <c r="G9" s="297" t="s">
        <v>30</v>
      </c>
      <c r="H9" s="286">
        <v>5</v>
      </c>
    </row>
    <row r="10" spans="1:10" ht="19.5" customHeight="1" x14ac:dyDescent="0.35">
      <c r="A10" s="434"/>
      <c r="B10" s="435" t="s">
        <v>200</v>
      </c>
      <c r="C10" s="436"/>
      <c r="D10" s="436"/>
      <c r="E10" s="436"/>
      <c r="F10" s="436"/>
      <c r="G10" s="437"/>
      <c r="H10" s="438">
        <f>H11+H148+H208+H249+H276+H307+H333+H369+H423+H432+H438+H448+H454+H460+H524+H541+H409+H518+H535</f>
        <v>2429707.2639700002</v>
      </c>
      <c r="J10" s="760">
        <f>H10-'прил8 (ведом 24)'!M11</f>
        <v>0</v>
      </c>
    </row>
    <row r="11" spans="1:10" s="444" customFormat="1" ht="52.2" x14ac:dyDescent="0.3">
      <c r="A11" s="440">
        <v>1</v>
      </c>
      <c r="B11" s="605" t="s">
        <v>203</v>
      </c>
      <c r="C11" s="441" t="s">
        <v>38</v>
      </c>
      <c r="D11" s="441" t="s">
        <v>41</v>
      </c>
      <c r="E11" s="441" t="s">
        <v>42</v>
      </c>
      <c r="F11" s="442" t="s">
        <v>43</v>
      </c>
      <c r="G11" s="443"/>
      <c r="H11" s="310">
        <f>H12+H83+H108</f>
        <v>1527381.9014299999</v>
      </c>
    </row>
    <row r="12" spans="1:10" ht="18" x14ac:dyDescent="0.35">
      <c r="A12" s="434"/>
      <c r="B12" s="606" t="s">
        <v>204</v>
      </c>
      <c r="C12" s="793" t="s">
        <v>38</v>
      </c>
      <c r="D12" s="793" t="s">
        <v>44</v>
      </c>
      <c r="E12" s="793" t="s">
        <v>42</v>
      </c>
      <c r="F12" s="794" t="s">
        <v>43</v>
      </c>
      <c r="G12" s="297"/>
      <c r="H12" s="267">
        <f>H13+H32+H79</f>
        <v>1332660.2234299998</v>
      </c>
    </row>
    <row r="13" spans="1:10" ht="18" x14ac:dyDescent="0.35">
      <c r="A13" s="434"/>
      <c r="B13" s="606" t="s">
        <v>281</v>
      </c>
      <c r="C13" s="258" t="s">
        <v>38</v>
      </c>
      <c r="D13" s="259" t="s">
        <v>44</v>
      </c>
      <c r="E13" s="259" t="s">
        <v>36</v>
      </c>
      <c r="F13" s="260" t="s">
        <v>43</v>
      </c>
      <c r="G13" s="297"/>
      <c r="H13" s="267">
        <f>H23+H26+H28+H14+H18+H16+H20+H30</f>
        <v>471512.42999999993</v>
      </c>
    </row>
    <row r="14" spans="1:10" ht="36" x14ac:dyDescent="0.35">
      <c r="A14" s="434"/>
      <c r="B14" s="606" t="s">
        <v>484</v>
      </c>
      <c r="C14" s="258" t="s">
        <v>38</v>
      </c>
      <c r="D14" s="259" t="s">
        <v>44</v>
      </c>
      <c r="E14" s="259" t="s">
        <v>36</v>
      </c>
      <c r="F14" s="260" t="s">
        <v>89</v>
      </c>
      <c r="G14" s="73"/>
      <c r="H14" s="267">
        <f>H15</f>
        <v>114625</v>
      </c>
    </row>
    <row r="15" spans="1:10" ht="36" x14ac:dyDescent="0.35">
      <c r="A15" s="434"/>
      <c r="B15" s="606" t="s">
        <v>74</v>
      </c>
      <c r="C15" s="258" t="s">
        <v>38</v>
      </c>
      <c r="D15" s="259" t="s">
        <v>44</v>
      </c>
      <c r="E15" s="259" t="s">
        <v>36</v>
      </c>
      <c r="F15" s="260" t="s">
        <v>89</v>
      </c>
      <c r="G15" s="73" t="s">
        <v>75</v>
      </c>
      <c r="H15" s="267">
        <f>'прил8 (ведом 24)'!M406</f>
        <v>114625</v>
      </c>
    </row>
    <row r="16" spans="1:10" ht="18" x14ac:dyDescent="0.35">
      <c r="A16" s="434"/>
      <c r="B16" s="607" t="s">
        <v>485</v>
      </c>
      <c r="C16" s="258" t="s">
        <v>38</v>
      </c>
      <c r="D16" s="259" t="s">
        <v>44</v>
      </c>
      <c r="E16" s="259" t="s">
        <v>36</v>
      </c>
      <c r="F16" s="260" t="s">
        <v>402</v>
      </c>
      <c r="G16" s="73"/>
      <c r="H16" s="267">
        <f>H17</f>
        <v>8013.8</v>
      </c>
    </row>
    <row r="17" spans="1:8" ht="36" x14ac:dyDescent="0.35">
      <c r="A17" s="434"/>
      <c r="B17" s="607" t="s">
        <v>74</v>
      </c>
      <c r="C17" s="258" t="s">
        <v>38</v>
      </c>
      <c r="D17" s="259" t="s">
        <v>44</v>
      </c>
      <c r="E17" s="259" t="s">
        <v>36</v>
      </c>
      <c r="F17" s="260" t="s">
        <v>402</v>
      </c>
      <c r="G17" s="73" t="s">
        <v>75</v>
      </c>
      <c r="H17" s="267">
        <f>'прил8 (ведом 24)'!M408</f>
        <v>8013.8</v>
      </c>
    </row>
    <row r="18" spans="1:8" ht="36" x14ac:dyDescent="0.35">
      <c r="A18" s="434"/>
      <c r="B18" s="607" t="s">
        <v>205</v>
      </c>
      <c r="C18" s="258" t="s">
        <v>38</v>
      </c>
      <c r="D18" s="259" t="s">
        <v>44</v>
      </c>
      <c r="E18" s="259" t="s">
        <v>36</v>
      </c>
      <c r="F18" s="260" t="s">
        <v>287</v>
      </c>
      <c r="G18" s="73"/>
      <c r="H18" s="267">
        <f>H19</f>
        <v>33905.5</v>
      </c>
    </row>
    <row r="19" spans="1:8" ht="36" x14ac:dyDescent="0.35">
      <c r="A19" s="434"/>
      <c r="B19" s="607" t="s">
        <v>74</v>
      </c>
      <c r="C19" s="258" t="s">
        <v>38</v>
      </c>
      <c r="D19" s="259" t="s">
        <v>44</v>
      </c>
      <c r="E19" s="259" t="s">
        <v>36</v>
      </c>
      <c r="F19" s="260" t="s">
        <v>287</v>
      </c>
      <c r="G19" s="73" t="s">
        <v>75</v>
      </c>
      <c r="H19" s="267">
        <f>'прил8 (ведом 24)'!M410</f>
        <v>33905.5</v>
      </c>
    </row>
    <row r="20" spans="1:8" ht="36" x14ac:dyDescent="0.35">
      <c r="A20" s="434"/>
      <c r="B20" s="610" t="s">
        <v>206</v>
      </c>
      <c r="C20" s="799" t="s">
        <v>38</v>
      </c>
      <c r="D20" s="800" t="s">
        <v>44</v>
      </c>
      <c r="E20" s="800" t="s">
        <v>36</v>
      </c>
      <c r="F20" s="801" t="s">
        <v>288</v>
      </c>
      <c r="G20" s="73"/>
      <c r="H20" s="267">
        <f>H22+H21</f>
        <v>3061.6000000000004</v>
      </c>
    </row>
    <row r="21" spans="1:8" ht="36" x14ac:dyDescent="0.35">
      <c r="A21" s="434"/>
      <c r="B21" s="608" t="s">
        <v>201</v>
      </c>
      <c r="C21" s="258" t="s">
        <v>38</v>
      </c>
      <c r="D21" s="259" t="s">
        <v>44</v>
      </c>
      <c r="E21" s="259" t="s">
        <v>36</v>
      </c>
      <c r="F21" s="260" t="s">
        <v>288</v>
      </c>
      <c r="G21" s="73" t="s">
        <v>202</v>
      </c>
      <c r="H21" s="267">
        <f>'прил8 (ведом 24)'!M349</f>
        <v>2145.9</v>
      </c>
    </row>
    <row r="22" spans="1:8" ht="50.25" customHeight="1" x14ac:dyDescent="0.35">
      <c r="A22" s="434"/>
      <c r="B22" s="607" t="s">
        <v>74</v>
      </c>
      <c r="C22" s="258" t="s">
        <v>38</v>
      </c>
      <c r="D22" s="259" t="s">
        <v>44</v>
      </c>
      <c r="E22" s="259" t="s">
        <v>36</v>
      </c>
      <c r="F22" s="260" t="s">
        <v>288</v>
      </c>
      <c r="G22" s="73" t="s">
        <v>75</v>
      </c>
      <c r="H22" s="261">
        <f>'прил8 (ведом 24)'!M412</f>
        <v>915.7</v>
      </c>
    </row>
    <row r="23" spans="1:8" ht="120" customHeight="1" x14ac:dyDescent="0.35">
      <c r="A23" s="434"/>
      <c r="B23" s="606" t="s">
        <v>297</v>
      </c>
      <c r="C23" s="258" t="s">
        <v>38</v>
      </c>
      <c r="D23" s="259" t="s">
        <v>44</v>
      </c>
      <c r="E23" s="259" t="s">
        <v>36</v>
      </c>
      <c r="F23" s="260" t="s">
        <v>298</v>
      </c>
      <c r="G23" s="73"/>
      <c r="H23" s="267">
        <f>SUM(H24:H25)</f>
        <v>8438.2000000000007</v>
      </c>
    </row>
    <row r="24" spans="1:8" ht="36" x14ac:dyDescent="0.35">
      <c r="A24" s="434"/>
      <c r="B24" s="606" t="s">
        <v>53</v>
      </c>
      <c r="C24" s="258" t="s">
        <v>38</v>
      </c>
      <c r="D24" s="259" t="s">
        <v>44</v>
      </c>
      <c r="E24" s="259" t="s">
        <v>36</v>
      </c>
      <c r="F24" s="260" t="s">
        <v>298</v>
      </c>
      <c r="G24" s="73" t="s">
        <v>54</v>
      </c>
      <c r="H24" s="267">
        <f>'прил8 (ведом 24)'!M539</f>
        <v>124.7</v>
      </c>
    </row>
    <row r="25" spans="1:8" ht="18" x14ac:dyDescent="0.35">
      <c r="A25" s="434"/>
      <c r="B25" s="609" t="s">
        <v>118</v>
      </c>
      <c r="C25" s="258" t="s">
        <v>38</v>
      </c>
      <c r="D25" s="259" t="s">
        <v>44</v>
      </c>
      <c r="E25" s="259" t="s">
        <v>36</v>
      </c>
      <c r="F25" s="260" t="s">
        <v>298</v>
      </c>
      <c r="G25" s="73" t="s">
        <v>119</v>
      </c>
      <c r="H25" s="267">
        <f>'прил8 (ведом 24)'!M540</f>
        <v>8313.5</v>
      </c>
    </row>
    <row r="26" spans="1:8" ht="162" x14ac:dyDescent="0.35">
      <c r="A26" s="434"/>
      <c r="B26" s="606" t="s">
        <v>282</v>
      </c>
      <c r="C26" s="258" t="s">
        <v>38</v>
      </c>
      <c r="D26" s="259" t="s">
        <v>44</v>
      </c>
      <c r="E26" s="259" t="s">
        <v>36</v>
      </c>
      <c r="F26" s="260" t="s">
        <v>283</v>
      </c>
      <c r="G26" s="73"/>
      <c r="H26" s="267">
        <f>H27</f>
        <v>630.6</v>
      </c>
    </row>
    <row r="27" spans="1:8" ht="36" x14ac:dyDescent="0.35">
      <c r="A27" s="434"/>
      <c r="B27" s="606" t="s">
        <v>74</v>
      </c>
      <c r="C27" s="258" t="s">
        <v>38</v>
      </c>
      <c r="D27" s="259" t="s">
        <v>44</v>
      </c>
      <c r="E27" s="259" t="s">
        <v>36</v>
      </c>
      <c r="F27" s="260" t="s">
        <v>283</v>
      </c>
      <c r="G27" s="73" t="s">
        <v>75</v>
      </c>
      <c r="H27" s="267">
        <f>'прил8 (ведом 24)'!M414</f>
        <v>630.6</v>
      </c>
    </row>
    <row r="28" spans="1:8" ht="90" x14ac:dyDescent="0.35">
      <c r="A28" s="434"/>
      <c r="B28" s="606" t="s">
        <v>365</v>
      </c>
      <c r="C28" s="258" t="s">
        <v>38</v>
      </c>
      <c r="D28" s="259" t="s">
        <v>44</v>
      </c>
      <c r="E28" s="259" t="s">
        <v>36</v>
      </c>
      <c r="F28" s="260" t="s">
        <v>284</v>
      </c>
      <c r="G28" s="73"/>
      <c r="H28" s="267">
        <f>H29</f>
        <v>275400.2</v>
      </c>
    </row>
    <row r="29" spans="1:8" ht="36" x14ac:dyDescent="0.35">
      <c r="A29" s="434"/>
      <c r="B29" s="609" t="s">
        <v>74</v>
      </c>
      <c r="C29" s="258" t="s">
        <v>38</v>
      </c>
      <c r="D29" s="259" t="s">
        <v>44</v>
      </c>
      <c r="E29" s="259" t="s">
        <v>36</v>
      </c>
      <c r="F29" s="260" t="s">
        <v>284</v>
      </c>
      <c r="G29" s="73" t="s">
        <v>75</v>
      </c>
      <c r="H29" s="267">
        <f>'прил8 (ведом 24)'!M416</f>
        <v>275400.2</v>
      </c>
    </row>
    <row r="30" spans="1:8" ht="126" x14ac:dyDescent="0.35">
      <c r="A30" s="434"/>
      <c r="B30" s="608" t="s">
        <v>757</v>
      </c>
      <c r="C30" s="258" t="s">
        <v>38</v>
      </c>
      <c r="D30" s="259" t="s">
        <v>44</v>
      </c>
      <c r="E30" s="259" t="s">
        <v>36</v>
      </c>
      <c r="F30" s="260" t="s">
        <v>513</v>
      </c>
      <c r="G30" s="73"/>
      <c r="H30" s="267">
        <f>H31</f>
        <v>27437.53</v>
      </c>
    </row>
    <row r="31" spans="1:8" ht="36" x14ac:dyDescent="0.35">
      <c r="A31" s="434"/>
      <c r="B31" s="608" t="s">
        <v>201</v>
      </c>
      <c r="C31" s="258" t="s">
        <v>38</v>
      </c>
      <c r="D31" s="259" t="s">
        <v>44</v>
      </c>
      <c r="E31" s="259" t="s">
        <v>36</v>
      </c>
      <c r="F31" s="260" t="s">
        <v>513</v>
      </c>
      <c r="G31" s="73" t="s">
        <v>202</v>
      </c>
      <c r="H31" s="267">
        <f>'прил8 (ведом 24)'!M351</f>
        <v>27437.53</v>
      </c>
    </row>
    <row r="32" spans="1:8" ht="18" x14ac:dyDescent="0.35">
      <c r="A32" s="434"/>
      <c r="B32" s="606" t="s">
        <v>286</v>
      </c>
      <c r="C32" s="258" t="s">
        <v>38</v>
      </c>
      <c r="D32" s="259" t="s">
        <v>44</v>
      </c>
      <c r="E32" s="259" t="s">
        <v>38</v>
      </c>
      <c r="F32" s="260" t="s">
        <v>43</v>
      </c>
      <c r="G32" s="73"/>
      <c r="H32" s="267">
        <f>H41+H44+H50+H54+H58+H33+H38+H65+H68+H48+H75+H73+H71+H63+H61</f>
        <v>855401.89343000005</v>
      </c>
    </row>
    <row r="33" spans="1:8" ht="36" x14ac:dyDescent="0.35">
      <c r="A33" s="434"/>
      <c r="B33" s="606" t="s">
        <v>484</v>
      </c>
      <c r="C33" s="258" t="s">
        <v>38</v>
      </c>
      <c r="D33" s="259" t="s">
        <v>44</v>
      </c>
      <c r="E33" s="259" t="s">
        <v>38</v>
      </c>
      <c r="F33" s="260" t="s">
        <v>89</v>
      </c>
      <c r="G33" s="73"/>
      <c r="H33" s="267">
        <f>SUM(H34:H37)</f>
        <v>82733.032999999996</v>
      </c>
    </row>
    <row r="34" spans="1:8" ht="90" x14ac:dyDescent="0.35">
      <c r="A34" s="434"/>
      <c r="B34" s="607" t="s">
        <v>48</v>
      </c>
      <c r="C34" s="258" t="s">
        <v>38</v>
      </c>
      <c r="D34" s="259" t="s">
        <v>44</v>
      </c>
      <c r="E34" s="259" t="s">
        <v>38</v>
      </c>
      <c r="F34" s="260" t="s">
        <v>89</v>
      </c>
      <c r="G34" s="73" t="s">
        <v>49</v>
      </c>
      <c r="H34" s="267">
        <f>'прил8 (ведом 24)'!M427</f>
        <v>451</v>
      </c>
    </row>
    <row r="35" spans="1:8" ht="36" x14ac:dyDescent="0.35">
      <c r="A35" s="434"/>
      <c r="B35" s="607" t="s">
        <v>53</v>
      </c>
      <c r="C35" s="258" t="s">
        <v>38</v>
      </c>
      <c r="D35" s="259" t="s">
        <v>44</v>
      </c>
      <c r="E35" s="259" t="s">
        <v>38</v>
      </c>
      <c r="F35" s="260" t="s">
        <v>89</v>
      </c>
      <c r="G35" s="73" t="s">
        <v>54</v>
      </c>
      <c r="H35" s="267">
        <f>'прил8 (ведом 24)'!M428</f>
        <v>7964.7329999999993</v>
      </c>
    </row>
    <row r="36" spans="1:8" ht="36" x14ac:dyDescent="0.35">
      <c r="A36" s="434"/>
      <c r="B36" s="606" t="s">
        <v>74</v>
      </c>
      <c r="C36" s="258" t="s">
        <v>38</v>
      </c>
      <c r="D36" s="259" t="s">
        <v>44</v>
      </c>
      <c r="E36" s="259" t="s">
        <v>38</v>
      </c>
      <c r="F36" s="260" t="s">
        <v>89</v>
      </c>
      <c r="G36" s="73" t="s">
        <v>75</v>
      </c>
      <c r="H36" s="267">
        <f>'прил8 (ведом 24)'!M429</f>
        <v>73937.399999999994</v>
      </c>
    </row>
    <row r="37" spans="1:8" ht="18" x14ac:dyDescent="0.35">
      <c r="A37" s="434"/>
      <c r="B37" s="606" t="s">
        <v>55</v>
      </c>
      <c r="C37" s="258" t="s">
        <v>38</v>
      </c>
      <c r="D37" s="259" t="s">
        <v>44</v>
      </c>
      <c r="E37" s="259" t="s">
        <v>38</v>
      </c>
      <c r="F37" s="260" t="s">
        <v>89</v>
      </c>
      <c r="G37" s="73" t="s">
        <v>56</v>
      </c>
      <c r="H37" s="267">
        <f>'прил8 (ведом 24)'!M430</f>
        <v>379.90000000000003</v>
      </c>
    </row>
    <row r="38" spans="1:8" ht="18" x14ac:dyDescent="0.35">
      <c r="A38" s="434"/>
      <c r="B38" s="607" t="s">
        <v>485</v>
      </c>
      <c r="C38" s="258" t="s">
        <v>38</v>
      </c>
      <c r="D38" s="259" t="s">
        <v>44</v>
      </c>
      <c r="E38" s="259" t="s">
        <v>38</v>
      </c>
      <c r="F38" s="260" t="s">
        <v>402</v>
      </c>
      <c r="G38" s="73"/>
      <c r="H38" s="267">
        <f>SUM(H39:H40)</f>
        <v>9008.2204299999994</v>
      </c>
    </row>
    <row r="39" spans="1:8" ht="36" x14ac:dyDescent="0.35">
      <c r="A39" s="434"/>
      <c r="B39" s="607" t="s">
        <v>53</v>
      </c>
      <c r="C39" s="799" t="s">
        <v>38</v>
      </c>
      <c r="D39" s="800" t="s">
        <v>44</v>
      </c>
      <c r="E39" s="800" t="s">
        <v>38</v>
      </c>
      <c r="F39" s="801" t="s">
        <v>402</v>
      </c>
      <c r="G39" s="55" t="s">
        <v>54</v>
      </c>
      <c r="H39" s="267">
        <f>'прил8 (ведом 24)'!M432</f>
        <v>5.9204299999999996</v>
      </c>
    </row>
    <row r="40" spans="1:8" ht="36" x14ac:dyDescent="0.35">
      <c r="A40" s="434"/>
      <c r="B40" s="606" t="s">
        <v>74</v>
      </c>
      <c r="C40" s="258" t="s">
        <v>38</v>
      </c>
      <c r="D40" s="259" t="s">
        <v>44</v>
      </c>
      <c r="E40" s="259" t="s">
        <v>38</v>
      </c>
      <c r="F40" s="260" t="s">
        <v>402</v>
      </c>
      <c r="G40" s="73" t="s">
        <v>75</v>
      </c>
      <c r="H40" s="267">
        <f>'прил8 (ведом 24)'!M433</f>
        <v>9002.2999999999993</v>
      </c>
    </row>
    <row r="41" spans="1:8" ht="36" x14ac:dyDescent="0.35">
      <c r="A41" s="434"/>
      <c r="B41" s="606" t="s">
        <v>205</v>
      </c>
      <c r="C41" s="258" t="s">
        <v>38</v>
      </c>
      <c r="D41" s="259" t="s">
        <v>44</v>
      </c>
      <c r="E41" s="259" t="s">
        <v>38</v>
      </c>
      <c r="F41" s="260" t="s">
        <v>287</v>
      </c>
      <c r="G41" s="73"/>
      <c r="H41" s="267">
        <f>SUM(H42:H43)</f>
        <v>31608.699999999997</v>
      </c>
    </row>
    <row r="42" spans="1:8" ht="36" x14ac:dyDescent="0.35">
      <c r="A42" s="434"/>
      <c r="B42" s="607" t="s">
        <v>53</v>
      </c>
      <c r="C42" s="258" t="s">
        <v>38</v>
      </c>
      <c r="D42" s="259" t="s">
        <v>44</v>
      </c>
      <c r="E42" s="259" t="s">
        <v>38</v>
      </c>
      <c r="F42" s="260" t="s">
        <v>287</v>
      </c>
      <c r="G42" s="73" t="s">
        <v>54</v>
      </c>
      <c r="H42" s="267">
        <f>'прил8 (ведом 24)'!M435</f>
        <v>4836.3999999999996</v>
      </c>
    </row>
    <row r="43" spans="1:8" ht="36" x14ac:dyDescent="0.35">
      <c r="A43" s="434"/>
      <c r="B43" s="606" t="s">
        <v>74</v>
      </c>
      <c r="C43" s="258" t="s">
        <v>38</v>
      </c>
      <c r="D43" s="259" t="s">
        <v>44</v>
      </c>
      <c r="E43" s="259" t="s">
        <v>38</v>
      </c>
      <c r="F43" s="260" t="s">
        <v>287</v>
      </c>
      <c r="G43" s="73" t="s">
        <v>75</v>
      </c>
      <c r="H43" s="267">
        <f>'прил8 (ведом 24)'!M436</f>
        <v>26772.3</v>
      </c>
    </row>
    <row r="44" spans="1:8" ht="36" x14ac:dyDescent="0.35">
      <c r="A44" s="434"/>
      <c r="B44" s="606" t="s">
        <v>206</v>
      </c>
      <c r="C44" s="258" t="s">
        <v>38</v>
      </c>
      <c r="D44" s="259" t="s">
        <v>44</v>
      </c>
      <c r="E44" s="259" t="s">
        <v>38</v>
      </c>
      <c r="F44" s="260" t="s">
        <v>288</v>
      </c>
      <c r="G44" s="73"/>
      <c r="H44" s="267">
        <f>SUM(H45:H47)</f>
        <v>53449.64</v>
      </c>
    </row>
    <row r="45" spans="1:8" ht="36" x14ac:dyDescent="0.35">
      <c r="A45" s="434"/>
      <c r="B45" s="607" t="s">
        <v>53</v>
      </c>
      <c r="C45" s="258" t="s">
        <v>38</v>
      </c>
      <c r="D45" s="259" t="s">
        <v>44</v>
      </c>
      <c r="E45" s="259" t="s">
        <v>38</v>
      </c>
      <c r="F45" s="260" t="s">
        <v>288</v>
      </c>
      <c r="G45" s="73" t="s">
        <v>54</v>
      </c>
      <c r="H45" s="267">
        <f>'прил8 (ведом 24)'!M438</f>
        <v>29639.1</v>
      </c>
    </row>
    <row r="46" spans="1:8" ht="36" x14ac:dyDescent="0.35">
      <c r="A46" s="434"/>
      <c r="B46" s="773" t="s">
        <v>201</v>
      </c>
      <c r="C46" s="184" t="s">
        <v>38</v>
      </c>
      <c r="D46" s="185" t="s">
        <v>44</v>
      </c>
      <c r="E46" s="185" t="s">
        <v>38</v>
      </c>
      <c r="F46" s="585" t="s">
        <v>288</v>
      </c>
      <c r="G46" s="586" t="s">
        <v>202</v>
      </c>
      <c r="H46" s="267">
        <f>'прил8 (ведом 24)'!M357</f>
        <v>5.04</v>
      </c>
    </row>
    <row r="47" spans="1:8" ht="36" x14ac:dyDescent="0.35">
      <c r="A47" s="434"/>
      <c r="B47" s="606" t="s">
        <v>74</v>
      </c>
      <c r="C47" s="258" t="s">
        <v>38</v>
      </c>
      <c r="D47" s="259" t="s">
        <v>44</v>
      </c>
      <c r="E47" s="259" t="s">
        <v>38</v>
      </c>
      <c r="F47" s="260" t="s">
        <v>288</v>
      </c>
      <c r="G47" s="73" t="s">
        <v>75</v>
      </c>
      <c r="H47" s="267">
        <f>'прил8 (ведом 24)'!M439</f>
        <v>23805.5</v>
      </c>
    </row>
    <row r="48" spans="1:8" ht="54" x14ac:dyDescent="0.35">
      <c r="A48" s="434"/>
      <c r="B48" s="607" t="s">
        <v>531</v>
      </c>
      <c r="C48" s="258" t="s">
        <v>38</v>
      </c>
      <c r="D48" s="259" t="s">
        <v>44</v>
      </c>
      <c r="E48" s="259" t="s">
        <v>38</v>
      </c>
      <c r="F48" s="260" t="s">
        <v>532</v>
      </c>
      <c r="G48" s="73"/>
      <c r="H48" s="261">
        <f>H49</f>
        <v>30</v>
      </c>
    </row>
    <row r="49" spans="1:8" ht="36" x14ac:dyDescent="0.35">
      <c r="A49" s="434"/>
      <c r="B49" s="607" t="s">
        <v>74</v>
      </c>
      <c r="C49" s="258" t="s">
        <v>38</v>
      </c>
      <c r="D49" s="259" t="s">
        <v>44</v>
      </c>
      <c r="E49" s="259" t="s">
        <v>38</v>
      </c>
      <c r="F49" s="260" t="s">
        <v>532</v>
      </c>
      <c r="G49" s="73" t="s">
        <v>75</v>
      </c>
      <c r="H49" s="261">
        <f>'прил8 (ведом 24)'!M441</f>
        <v>30</v>
      </c>
    </row>
    <row r="50" spans="1:8" ht="162" x14ac:dyDescent="0.35">
      <c r="A50" s="434"/>
      <c r="B50" s="606" t="s">
        <v>282</v>
      </c>
      <c r="C50" s="258" t="s">
        <v>38</v>
      </c>
      <c r="D50" s="259" t="s">
        <v>44</v>
      </c>
      <c r="E50" s="259" t="s">
        <v>38</v>
      </c>
      <c r="F50" s="260" t="s">
        <v>283</v>
      </c>
      <c r="G50" s="73"/>
      <c r="H50" s="267">
        <f>SUM(H51:H53)</f>
        <v>1468.6</v>
      </c>
    </row>
    <row r="51" spans="1:8" ht="90" x14ac:dyDescent="0.35">
      <c r="A51" s="434"/>
      <c r="B51" s="607" t="s">
        <v>48</v>
      </c>
      <c r="C51" s="258" t="s">
        <v>38</v>
      </c>
      <c r="D51" s="259" t="s">
        <v>44</v>
      </c>
      <c r="E51" s="259" t="s">
        <v>38</v>
      </c>
      <c r="F51" s="260" t="s">
        <v>283</v>
      </c>
      <c r="G51" s="73" t="s">
        <v>49</v>
      </c>
      <c r="H51" s="267">
        <f>'прил8 (ведом 24)'!M443</f>
        <v>77.599999999999994</v>
      </c>
    </row>
    <row r="52" spans="1:8" ht="18" x14ac:dyDescent="0.35">
      <c r="A52" s="434"/>
      <c r="B52" s="607" t="s">
        <v>118</v>
      </c>
      <c r="C52" s="258" t="s">
        <v>38</v>
      </c>
      <c r="D52" s="259" t="s">
        <v>44</v>
      </c>
      <c r="E52" s="259" t="s">
        <v>38</v>
      </c>
      <c r="F52" s="260" t="s">
        <v>283</v>
      </c>
      <c r="G52" s="73" t="s">
        <v>119</v>
      </c>
      <c r="H52" s="267">
        <f>'прил8 (ведом 24)'!M444</f>
        <v>5.5</v>
      </c>
    </row>
    <row r="53" spans="1:8" ht="36" x14ac:dyDescent="0.35">
      <c r="A53" s="434"/>
      <c r="B53" s="606" t="s">
        <v>74</v>
      </c>
      <c r="C53" s="258" t="s">
        <v>38</v>
      </c>
      <c r="D53" s="259" t="s">
        <v>44</v>
      </c>
      <c r="E53" s="259" t="s">
        <v>38</v>
      </c>
      <c r="F53" s="260" t="s">
        <v>283</v>
      </c>
      <c r="G53" s="73" t="s">
        <v>75</v>
      </c>
      <c r="H53" s="267">
        <f>'прил8 (ведом 24)'!M445</f>
        <v>1385.5</v>
      </c>
    </row>
    <row r="54" spans="1:8" ht="90" x14ac:dyDescent="0.35">
      <c r="A54" s="434"/>
      <c r="B54" s="606" t="s">
        <v>365</v>
      </c>
      <c r="C54" s="258" t="s">
        <v>38</v>
      </c>
      <c r="D54" s="259" t="s">
        <v>44</v>
      </c>
      <c r="E54" s="259" t="s">
        <v>38</v>
      </c>
      <c r="F54" s="260" t="s">
        <v>284</v>
      </c>
      <c r="G54" s="73"/>
      <c r="H54" s="267">
        <f>SUM(H55:H57)</f>
        <v>517624.4</v>
      </c>
    </row>
    <row r="55" spans="1:8" ht="90" x14ac:dyDescent="0.35">
      <c r="A55" s="434"/>
      <c r="B55" s="606" t="s">
        <v>48</v>
      </c>
      <c r="C55" s="258" t="s">
        <v>38</v>
      </c>
      <c r="D55" s="259" t="s">
        <v>44</v>
      </c>
      <c r="E55" s="259" t="s">
        <v>38</v>
      </c>
      <c r="F55" s="260" t="s">
        <v>284</v>
      </c>
      <c r="G55" s="73" t="s">
        <v>49</v>
      </c>
      <c r="H55" s="267">
        <f>'прил8 (ведом 24)'!M447</f>
        <v>30000</v>
      </c>
    </row>
    <row r="56" spans="1:8" ht="36" x14ac:dyDescent="0.35">
      <c r="A56" s="434"/>
      <c r="B56" s="606" t="s">
        <v>53</v>
      </c>
      <c r="C56" s="258" t="s">
        <v>38</v>
      </c>
      <c r="D56" s="259" t="s">
        <v>44</v>
      </c>
      <c r="E56" s="259" t="s">
        <v>38</v>
      </c>
      <c r="F56" s="260" t="s">
        <v>284</v>
      </c>
      <c r="G56" s="73" t="s">
        <v>54</v>
      </c>
      <c r="H56" s="267">
        <f>'прил8 (ведом 24)'!M448</f>
        <v>2062</v>
      </c>
    </row>
    <row r="57" spans="1:8" ht="36" x14ac:dyDescent="0.35">
      <c r="A57" s="434"/>
      <c r="B57" s="606" t="s">
        <v>74</v>
      </c>
      <c r="C57" s="258" t="s">
        <v>38</v>
      </c>
      <c r="D57" s="259" t="s">
        <v>44</v>
      </c>
      <c r="E57" s="259" t="s">
        <v>38</v>
      </c>
      <c r="F57" s="260" t="s">
        <v>284</v>
      </c>
      <c r="G57" s="73" t="s">
        <v>75</v>
      </c>
      <c r="H57" s="267">
        <f>'прил8 (ведом 24)'!M449</f>
        <v>485562.4</v>
      </c>
    </row>
    <row r="58" spans="1:8" ht="72" x14ac:dyDescent="0.35">
      <c r="A58" s="434"/>
      <c r="B58" s="606" t="s">
        <v>207</v>
      </c>
      <c r="C58" s="793" t="s">
        <v>38</v>
      </c>
      <c r="D58" s="793" t="s">
        <v>44</v>
      </c>
      <c r="E58" s="793" t="s">
        <v>38</v>
      </c>
      <c r="F58" s="794" t="s">
        <v>289</v>
      </c>
      <c r="G58" s="297"/>
      <c r="H58" s="267">
        <f>SUM(H59:H60)</f>
        <v>2391.3000000000002</v>
      </c>
    </row>
    <row r="59" spans="1:8" ht="36" x14ac:dyDescent="0.35">
      <c r="A59" s="434"/>
      <c r="B59" s="607" t="s">
        <v>53</v>
      </c>
      <c r="C59" s="258" t="s">
        <v>38</v>
      </c>
      <c r="D59" s="259" t="s">
        <v>44</v>
      </c>
      <c r="E59" s="259" t="s">
        <v>38</v>
      </c>
      <c r="F59" s="260" t="s">
        <v>289</v>
      </c>
      <c r="G59" s="73" t="s">
        <v>54</v>
      </c>
      <c r="H59" s="267">
        <f>'прил8 (ведом 24)'!M451</f>
        <v>102.4</v>
      </c>
    </row>
    <row r="60" spans="1:8" ht="36" x14ac:dyDescent="0.35">
      <c r="A60" s="434"/>
      <c r="B60" s="606" t="s">
        <v>74</v>
      </c>
      <c r="C60" s="793" t="s">
        <v>38</v>
      </c>
      <c r="D60" s="793" t="s">
        <v>44</v>
      </c>
      <c r="E60" s="793" t="s">
        <v>38</v>
      </c>
      <c r="F60" s="794" t="s">
        <v>289</v>
      </c>
      <c r="G60" s="297" t="s">
        <v>75</v>
      </c>
      <c r="H60" s="267">
        <f>'прил8 (ведом 24)'!M452</f>
        <v>2288.9</v>
      </c>
    </row>
    <row r="61" spans="1:8" ht="54" x14ac:dyDescent="0.35">
      <c r="A61" s="434"/>
      <c r="B61" s="610" t="s">
        <v>738</v>
      </c>
      <c r="C61" s="799" t="s">
        <v>38</v>
      </c>
      <c r="D61" s="800" t="s">
        <v>44</v>
      </c>
      <c r="E61" s="800" t="s">
        <v>38</v>
      </c>
      <c r="F61" s="801" t="s">
        <v>737</v>
      </c>
      <c r="G61" s="55"/>
      <c r="H61" s="267">
        <f>H62</f>
        <v>950</v>
      </c>
    </row>
    <row r="62" spans="1:8" ht="36" x14ac:dyDescent="0.35">
      <c r="A62" s="434"/>
      <c r="B62" s="610" t="s">
        <v>74</v>
      </c>
      <c r="C62" s="799" t="s">
        <v>38</v>
      </c>
      <c r="D62" s="800" t="s">
        <v>44</v>
      </c>
      <c r="E62" s="800" t="s">
        <v>38</v>
      </c>
      <c r="F62" s="801" t="s">
        <v>737</v>
      </c>
      <c r="G62" s="55" t="s">
        <v>75</v>
      </c>
      <c r="H62" s="267">
        <f>'прил8 (ведом 24)'!M454</f>
        <v>950</v>
      </c>
    </row>
    <row r="63" spans="1:8" ht="126" x14ac:dyDescent="0.35">
      <c r="A63" s="434"/>
      <c r="B63" s="610" t="s">
        <v>556</v>
      </c>
      <c r="C63" s="258" t="s">
        <v>38</v>
      </c>
      <c r="D63" s="259" t="s">
        <v>44</v>
      </c>
      <c r="E63" s="259" t="s">
        <v>38</v>
      </c>
      <c r="F63" s="260" t="s">
        <v>555</v>
      </c>
      <c r="G63" s="297"/>
      <c r="H63" s="267">
        <f>H64</f>
        <v>1845.6</v>
      </c>
    </row>
    <row r="64" spans="1:8" ht="36" x14ac:dyDescent="0.35">
      <c r="A64" s="434"/>
      <c r="B64" s="607" t="s">
        <v>74</v>
      </c>
      <c r="C64" s="258" t="s">
        <v>38</v>
      </c>
      <c r="D64" s="259" t="s">
        <v>44</v>
      </c>
      <c r="E64" s="259" t="s">
        <v>38</v>
      </c>
      <c r="F64" s="260" t="s">
        <v>555</v>
      </c>
      <c r="G64" s="73" t="s">
        <v>75</v>
      </c>
      <c r="H64" s="267">
        <f>'прил8 (ведом 24)'!M456</f>
        <v>1845.6</v>
      </c>
    </row>
    <row r="65" spans="1:8" ht="72" x14ac:dyDescent="0.35">
      <c r="A65" s="434"/>
      <c r="B65" s="607" t="s">
        <v>476</v>
      </c>
      <c r="C65" s="258" t="s">
        <v>38</v>
      </c>
      <c r="D65" s="259" t="s">
        <v>44</v>
      </c>
      <c r="E65" s="259" t="s">
        <v>38</v>
      </c>
      <c r="F65" s="260" t="s">
        <v>475</v>
      </c>
      <c r="G65" s="73"/>
      <c r="H65" s="267">
        <f>H66+H67</f>
        <v>65994.399999999994</v>
      </c>
    </row>
    <row r="66" spans="1:8" ht="36" x14ac:dyDescent="0.35">
      <c r="A66" s="434"/>
      <c r="B66" s="607" t="s">
        <v>53</v>
      </c>
      <c r="C66" s="258" t="s">
        <v>38</v>
      </c>
      <c r="D66" s="259" t="s">
        <v>44</v>
      </c>
      <c r="E66" s="259" t="s">
        <v>38</v>
      </c>
      <c r="F66" s="260" t="s">
        <v>475</v>
      </c>
      <c r="G66" s="73" t="s">
        <v>54</v>
      </c>
      <c r="H66" s="267">
        <f>'прил8 (ведом 24)'!M458</f>
        <v>1560.9</v>
      </c>
    </row>
    <row r="67" spans="1:8" ht="36" x14ac:dyDescent="0.35">
      <c r="A67" s="434"/>
      <c r="B67" s="607" t="s">
        <v>74</v>
      </c>
      <c r="C67" s="258" t="s">
        <v>38</v>
      </c>
      <c r="D67" s="259" t="s">
        <v>44</v>
      </c>
      <c r="E67" s="259" t="s">
        <v>38</v>
      </c>
      <c r="F67" s="260" t="s">
        <v>475</v>
      </c>
      <c r="G67" s="73" t="s">
        <v>75</v>
      </c>
      <c r="H67" s="267">
        <f>'прил8 (ведом 24)'!M459</f>
        <v>64433.5</v>
      </c>
    </row>
    <row r="68" spans="1:8" ht="234" x14ac:dyDescent="0.35">
      <c r="A68" s="434"/>
      <c r="B68" s="607" t="s">
        <v>759</v>
      </c>
      <c r="C68" s="258" t="s">
        <v>38</v>
      </c>
      <c r="D68" s="259" t="s">
        <v>44</v>
      </c>
      <c r="E68" s="259" t="s">
        <v>38</v>
      </c>
      <c r="F68" s="260" t="s">
        <v>696</v>
      </c>
      <c r="G68" s="73"/>
      <c r="H68" s="267">
        <f>H69+H70</f>
        <v>35544.6</v>
      </c>
    </row>
    <row r="69" spans="1:8" ht="90" x14ac:dyDescent="0.35">
      <c r="A69" s="434"/>
      <c r="B69" s="607" t="s">
        <v>48</v>
      </c>
      <c r="C69" s="258" t="s">
        <v>38</v>
      </c>
      <c r="D69" s="259" t="s">
        <v>44</v>
      </c>
      <c r="E69" s="259" t="s">
        <v>38</v>
      </c>
      <c r="F69" s="260" t="s">
        <v>696</v>
      </c>
      <c r="G69" s="73" t="s">
        <v>49</v>
      </c>
      <c r="H69" s="267">
        <f>'прил8 (ведом 24)'!M461</f>
        <v>2968.6</v>
      </c>
    </row>
    <row r="70" spans="1:8" ht="36" x14ac:dyDescent="0.35">
      <c r="A70" s="434"/>
      <c r="B70" s="607" t="s">
        <v>74</v>
      </c>
      <c r="C70" s="258" t="s">
        <v>38</v>
      </c>
      <c r="D70" s="259" t="s">
        <v>44</v>
      </c>
      <c r="E70" s="259" t="s">
        <v>38</v>
      </c>
      <c r="F70" s="260" t="s">
        <v>696</v>
      </c>
      <c r="G70" s="73" t="s">
        <v>75</v>
      </c>
      <c r="H70" s="267">
        <f>'прил8 (ведом 24)'!M462</f>
        <v>32576</v>
      </c>
    </row>
    <row r="71" spans="1:8" ht="162" x14ac:dyDescent="0.35">
      <c r="A71" s="434"/>
      <c r="B71" s="677" t="s">
        <v>692</v>
      </c>
      <c r="C71" s="799" t="s">
        <v>38</v>
      </c>
      <c r="D71" s="800" t="s">
        <v>44</v>
      </c>
      <c r="E71" s="800" t="s">
        <v>38</v>
      </c>
      <c r="F71" s="801" t="s">
        <v>653</v>
      </c>
      <c r="G71" s="55"/>
      <c r="H71" s="267">
        <f>H72</f>
        <v>3900.6</v>
      </c>
    </row>
    <row r="72" spans="1:8" ht="36" x14ac:dyDescent="0.35">
      <c r="A72" s="434"/>
      <c r="B72" s="610" t="s">
        <v>74</v>
      </c>
      <c r="C72" s="799" t="s">
        <v>38</v>
      </c>
      <c r="D72" s="800" t="s">
        <v>44</v>
      </c>
      <c r="E72" s="800" t="s">
        <v>38</v>
      </c>
      <c r="F72" s="801" t="s">
        <v>653</v>
      </c>
      <c r="G72" s="55" t="s">
        <v>75</v>
      </c>
      <c r="H72" s="267">
        <f>'прил8 (ведом 24)'!M464</f>
        <v>3900.6</v>
      </c>
    </row>
    <row r="73" spans="1:8" ht="126" x14ac:dyDescent="0.35">
      <c r="A73" s="434"/>
      <c r="B73" s="698" t="s">
        <v>757</v>
      </c>
      <c r="C73" s="466" t="s">
        <v>38</v>
      </c>
      <c r="D73" s="467" t="s">
        <v>44</v>
      </c>
      <c r="E73" s="467" t="s">
        <v>38</v>
      </c>
      <c r="F73" s="468" t="s">
        <v>513</v>
      </c>
      <c r="G73" s="525"/>
      <c r="H73" s="267">
        <f>H74</f>
        <v>34464.199999999997</v>
      </c>
    </row>
    <row r="74" spans="1:8" ht="36" x14ac:dyDescent="0.35">
      <c r="A74" s="434"/>
      <c r="B74" s="698" t="s">
        <v>201</v>
      </c>
      <c r="C74" s="706" t="s">
        <v>38</v>
      </c>
      <c r="D74" s="707" t="s">
        <v>44</v>
      </c>
      <c r="E74" s="707" t="s">
        <v>38</v>
      </c>
      <c r="F74" s="708" t="s">
        <v>513</v>
      </c>
      <c r="G74" s="525" t="s">
        <v>202</v>
      </c>
      <c r="H74" s="267">
        <f>'прил8 (ведом 24)'!M359</f>
        <v>34464.199999999997</v>
      </c>
    </row>
    <row r="75" spans="1:8" ht="72" x14ac:dyDescent="0.35">
      <c r="A75" s="434"/>
      <c r="B75" s="607" t="s">
        <v>760</v>
      </c>
      <c r="C75" s="258" t="s">
        <v>38</v>
      </c>
      <c r="D75" s="259" t="s">
        <v>44</v>
      </c>
      <c r="E75" s="259" t="s">
        <v>38</v>
      </c>
      <c r="F75" s="260" t="s">
        <v>553</v>
      </c>
      <c r="G75" s="73"/>
      <c r="H75" s="267">
        <f>H76+H77+H78</f>
        <v>14388.6</v>
      </c>
    </row>
    <row r="76" spans="1:8" ht="36" x14ac:dyDescent="0.35">
      <c r="A76" s="434"/>
      <c r="B76" s="607" t="s">
        <v>53</v>
      </c>
      <c r="C76" s="258" t="s">
        <v>38</v>
      </c>
      <c r="D76" s="259" t="s">
        <v>44</v>
      </c>
      <c r="E76" s="259" t="s">
        <v>38</v>
      </c>
      <c r="F76" s="260" t="s">
        <v>553</v>
      </c>
      <c r="G76" s="73" t="s">
        <v>54</v>
      </c>
      <c r="H76" s="267">
        <f>'прил8 (ведом 24)'!M466</f>
        <v>149.9</v>
      </c>
    </row>
    <row r="77" spans="1:8" ht="18" x14ac:dyDescent="0.35">
      <c r="A77" s="434"/>
      <c r="B77" s="607" t="s">
        <v>118</v>
      </c>
      <c r="C77" s="258" t="s">
        <v>38</v>
      </c>
      <c r="D77" s="259" t="s">
        <v>44</v>
      </c>
      <c r="E77" s="259" t="s">
        <v>38</v>
      </c>
      <c r="F77" s="260" t="s">
        <v>553</v>
      </c>
      <c r="G77" s="73" t="s">
        <v>119</v>
      </c>
      <c r="H77" s="267">
        <f>'прил8 (ведом 24)'!M467</f>
        <v>97.8</v>
      </c>
    </row>
    <row r="78" spans="1:8" ht="36" x14ac:dyDescent="0.35">
      <c r="A78" s="434"/>
      <c r="B78" s="607" t="s">
        <v>74</v>
      </c>
      <c r="C78" s="258" t="s">
        <v>38</v>
      </c>
      <c r="D78" s="259" t="s">
        <v>44</v>
      </c>
      <c r="E78" s="259" t="s">
        <v>38</v>
      </c>
      <c r="F78" s="260" t="s">
        <v>553</v>
      </c>
      <c r="G78" s="73" t="s">
        <v>75</v>
      </c>
      <c r="H78" s="267">
        <f>'прил8 (ведом 24)'!M468</f>
        <v>14140.9</v>
      </c>
    </row>
    <row r="79" spans="1:8" ht="36" x14ac:dyDescent="0.35">
      <c r="A79" s="434"/>
      <c r="B79" s="610" t="s">
        <v>679</v>
      </c>
      <c r="C79" s="799" t="s">
        <v>38</v>
      </c>
      <c r="D79" s="800" t="s">
        <v>44</v>
      </c>
      <c r="E79" s="800" t="s">
        <v>680</v>
      </c>
      <c r="F79" s="801" t="s">
        <v>43</v>
      </c>
      <c r="G79" s="55"/>
      <c r="H79" s="267">
        <f>H80</f>
        <v>5745.9</v>
      </c>
    </row>
    <row r="80" spans="1:8" ht="72" x14ac:dyDescent="0.35">
      <c r="A80" s="434"/>
      <c r="B80" s="610" t="s">
        <v>681</v>
      </c>
      <c r="C80" s="799" t="s">
        <v>38</v>
      </c>
      <c r="D80" s="800" t="s">
        <v>44</v>
      </c>
      <c r="E80" s="800" t="s">
        <v>680</v>
      </c>
      <c r="F80" s="801" t="s">
        <v>682</v>
      </c>
      <c r="G80" s="55"/>
      <c r="H80" s="267">
        <f>H81+H82</f>
        <v>5745.9</v>
      </c>
    </row>
    <row r="81" spans="1:8" ht="90" x14ac:dyDescent="0.35">
      <c r="A81" s="434"/>
      <c r="B81" s="610" t="s">
        <v>48</v>
      </c>
      <c r="C81" s="799" t="s">
        <v>38</v>
      </c>
      <c r="D81" s="800" t="s">
        <v>44</v>
      </c>
      <c r="E81" s="800" t="s">
        <v>680</v>
      </c>
      <c r="F81" s="801" t="s">
        <v>682</v>
      </c>
      <c r="G81" s="55" t="s">
        <v>49</v>
      </c>
      <c r="H81" s="267">
        <f>'прил8 (ведом 24)'!M471</f>
        <v>420.4</v>
      </c>
    </row>
    <row r="82" spans="1:8" ht="36" x14ac:dyDescent="0.35">
      <c r="A82" s="434"/>
      <c r="B82" s="610" t="s">
        <v>74</v>
      </c>
      <c r="C82" s="799" t="s">
        <v>38</v>
      </c>
      <c r="D82" s="800" t="s">
        <v>44</v>
      </c>
      <c r="E82" s="800" t="s">
        <v>680</v>
      </c>
      <c r="F82" s="801" t="s">
        <v>682</v>
      </c>
      <c r="G82" s="55" t="s">
        <v>75</v>
      </c>
      <c r="H82" s="267">
        <f>'прил8 (ведом 24)'!M472</f>
        <v>5325.5</v>
      </c>
    </row>
    <row r="83" spans="1:8" ht="18" x14ac:dyDescent="0.35">
      <c r="A83" s="434"/>
      <c r="B83" s="606" t="s">
        <v>208</v>
      </c>
      <c r="C83" s="258" t="s">
        <v>38</v>
      </c>
      <c r="D83" s="259" t="s">
        <v>87</v>
      </c>
      <c r="E83" s="259" t="s">
        <v>42</v>
      </c>
      <c r="F83" s="260" t="s">
        <v>43</v>
      </c>
      <c r="G83" s="297"/>
      <c r="H83" s="267">
        <f>H84+H105</f>
        <v>91389.31</v>
      </c>
    </row>
    <row r="84" spans="1:8" ht="36" x14ac:dyDescent="0.35">
      <c r="A84" s="434"/>
      <c r="B84" s="606" t="s">
        <v>290</v>
      </c>
      <c r="C84" s="258" t="s">
        <v>38</v>
      </c>
      <c r="D84" s="259" t="s">
        <v>87</v>
      </c>
      <c r="E84" s="259" t="s">
        <v>36</v>
      </c>
      <c r="F84" s="260" t="s">
        <v>43</v>
      </c>
      <c r="G84" s="297"/>
      <c r="H84" s="267">
        <f>H85+H100+H92+H102+H95+H90+H97</f>
        <v>91335.31</v>
      </c>
    </row>
    <row r="85" spans="1:8" ht="36" x14ac:dyDescent="0.35">
      <c r="A85" s="434"/>
      <c r="B85" s="606" t="s">
        <v>484</v>
      </c>
      <c r="C85" s="258" t="s">
        <v>38</v>
      </c>
      <c r="D85" s="259" t="s">
        <v>87</v>
      </c>
      <c r="E85" s="259" t="s">
        <v>36</v>
      </c>
      <c r="F85" s="260" t="s">
        <v>89</v>
      </c>
      <c r="G85" s="73"/>
      <c r="H85" s="267">
        <f>SUM(H86:H89)</f>
        <v>64472.210000000006</v>
      </c>
    </row>
    <row r="86" spans="1:8" ht="90" x14ac:dyDescent="0.35">
      <c r="A86" s="434"/>
      <c r="B86" s="607" t="s">
        <v>48</v>
      </c>
      <c r="C86" s="258" t="s">
        <v>38</v>
      </c>
      <c r="D86" s="259" t="s">
        <v>87</v>
      </c>
      <c r="E86" s="259" t="s">
        <v>36</v>
      </c>
      <c r="F86" s="260" t="s">
        <v>89</v>
      </c>
      <c r="G86" s="73" t="s">
        <v>49</v>
      </c>
      <c r="H86" s="267">
        <f>'прил8 (ведом 24)'!M547</f>
        <v>18733.2</v>
      </c>
    </row>
    <row r="87" spans="1:8" ht="36" x14ac:dyDescent="0.35">
      <c r="A87" s="434"/>
      <c r="B87" s="607" t="s">
        <v>53</v>
      </c>
      <c r="C87" s="258" t="s">
        <v>38</v>
      </c>
      <c r="D87" s="259" t="s">
        <v>87</v>
      </c>
      <c r="E87" s="259" t="s">
        <v>36</v>
      </c>
      <c r="F87" s="260" t="s">
        <v>89</v>
      </c>
      <c r="G87" s="73" t="s">
        <v>54</v>
      </c>
      <c r="H87" s="267">
        <f>'прил8 (ведом 24)'!M548</f>
        <v>3650.3100000000004</v>
      </c>
    </row>
    <row r="88" spans="1:8" ht="36" x14ac:dyDescent="0.35">
      <c r="A88" s="434"/>
      <c r="B88" s="606" t="s">
        <v>74</v>
      </c>
      <c r="C88" s="258" t="s">
        <v>38</v>
      </c>
      <c r="D88" s="259" t="s">
        <v>87</v>
      </c>
      <c r="E88" s="259" t="s">
        <v>36</v>
      </c>
      <c r="F88" s="260" t="s">
        <v>89</v>
      </c>
      <c r="G88" s="73" t="s">
        <v>75</v>
      </c>
      <c r="H88" s="267">
        <f>'прил8 (ведом 24)'!M482</f>
        <v>41785.4</v>
      </c>
    </row>
    <row r="89" spans="1:8" ht="18" x14ac:dyDescent="0.35">
      <c r="A89" s="434"/>
      <c r="B89" s="607" t="s">
        <v>55</v>
      </c>
      <c r="C89" s="258" t="s">
        <v>38</v>
      </c>
      <c r="D89" s="259" t="s">
        <v>87</v>
      </c>
      <c r="E89" s="259" t="s">
        <v>36</v>
      </c>
      <c r="F89" s="260" t="s">
        <v>89</v>
      </c>
      <c r="G89" s="73" t="s">
        <v>56</v>
      </c>
      <c r="H89" s="267">
        <f>'прил8 (ведом 24)'!M549</f>
        <v>303.3</v>
      </c>
    </row>
    <row r="90" spans="1:8" ht="18" x14ac:dyDescent="0.35">
      <c r="A90" s="434"/>
      <c r="B90" s="610" t="s">
        <v>485</v>
      </c>
      <c r="C90" s="799" t="s">
        <v>38</v>
      </c>
      <c r="D90" s="800" t="s">
        <v>87</v>
      </c>
      <c r="E90" s="800" t="s">
        <v>36</v>
      </c>
      <c r="F90" s="801" t="s">
        <v>402</v>
      </c>
      <c r="G90" s="55"/>
      <c r="H90" s="267">
        <f>H91</f>
        <v>972.4</v>
      </c>
    </row>
    <row r="91" spans="1:8" ht="36" x14ac:dyDescent="0.35">
      <c r="A91" s="434"/>
      <c r="B91" s="610" t="s">
        <v>74</v>
      </c>
      <c r="C91" s="799" t="s">
        <v>38</v>
      </c>
      <c r="D91" s="800" t="s">
        <v>87</v>
      </c>
      <c r="E91" s="800" t="s">
        <v>36</v>
      </c>
      <c r="F91" s="801" t="s">
        <v>402</v>
      </c>
      <c r="G91" s="55" t="s">
        <v>75</v>
      </c>
      <c r="H91" s="267">
        <f>'прил8 (ведом 24)'!M484</f>
        <v>972.4</v>
      </c>
    </row>
    <row r="92" spans="1:8" ht="36" x14ac:dyDescent="0.35">
      <c r="A92" s="434"/>
      <c r="B92" s="607" t="s">
        <v>205</v>
      </c>
      <c r="C92" s="258" t="s">
        <v>38</v>
      </c>
      <c r="D92" s="259" t="s">
        <v>87</v>
      </c>
      <c r="E92" s="259" t="s">
        <v>36</v>
      </c>
      <c r="F92" s="260" t="s">
        <v>287</v>
      </c>
      <c r="G92" s="73"/>
      <c r="H92" s="267">
        <f>SUM(H93:H94)</f>
        <v>5797.5</v>
      </c>
    </row>
    <row r="93" spans="1:8" ht="36" x14ac:dyDescent="0.35">
      <c r="A93" s="434"/>
      <c r="B93" s="607" t="s">
        <v>53</v>
      </c>
      <c r="C93" s="258" t="s">
        <v>38</v>
      </c>
      <c r="D93" s="259" t="s">
        <v>87</v>
      </c>
      <c r="E93" s="259" t="s">
        <v>36</v>
      </c>
      <c r="F93" s="260" t="s">
        <v>287</v>
      </c>
      <c r="G93" s="73" t="s">
        <v>54</v>
      </c>
      <c r="H93" s="267">
        <f>'прил8 (ведом 24)'!M551</f>
        <v>1159.5</v>
      </c>
    </row>
    <row r="94" spans="1:8" ht="36" x14ac:dyDescent="0.35">
      <c r="A94" s="434"/>
      <c r="B94" s="611" t="s">
        <v>74</v>
      </c>
      <c r="C94" s="258" t="s">
        <v>38</v>
      </c>
      <c r="D94" s="259" t="s">
        <v>87</v>
      </c>
      <c r="E94" s="259" t="s">
        <v>36</v>
      </c>
      <c r="F94" s="260" t="s">
        <v>287</v>
      </c>
      <c r="G94" s="73" t="s">
        <v>75</v>
      </c>
      <c r="H94" s="267">
        <f>'прил8 (ведом 24)'!M486</f>
        <v>4638</v>
      </c>
    </row>
    <row r="95" spans="1:8" ht="36" x14ac:dyDescent="0.35">
      <c r="A95" s="434"/>
      <c r="B95" s="607" t="s">
        <v>206</v>
      </c>
      <c r="C95" s="258" t="s">
        <v>38</v>
      </c>
      <c r="D95" s="259" t="s">
        <v>87</v>
      </c>
      <c r="E95" s="259" t="s">
        <v>36</v>
      </c>
      <c r="F95" s="260" t="s">
        <v>288</v>
      </c>
      <c r="G95" s="73"/>
      <c r="H95" s="267">
        <f>H96</f>
        <v>857.4</v>
      </c>
    </row>
    <row r="96" spans="1:8" ht="36" x14ac:dyDescent="0.35">
      <c r="A96" s="434"/>
      <c r="B96" s="611" t="s">
        <v>74</v>
      </c>
      <c r="C96" s="258" t="s">
        <v>38</v>
      </c>
      <c r="D96" s="259" t="s">
        <v>87</v>
      </c>
      <c r="E96" s="259" t="s">
        <v>36</v>
      </c>
      <c r="F96" s="260" t="s">
        <v>288</v>
      </c>
      <c r="G96" s="73" t="s">
        <v>75</v>
      </c>
      <c r="H96" s="267">
        <f>'прил8 (ведом 24)'!M488</f>
        <v>857.4</v>
      </c>
    </row>
    <row r="97" spans="1:8" ht="54" x14ac:dyDescent="0.35">
      <c r="A97" s="434"/>
      <c r="B97" s="677" t="s">
        <v>689</v>
      </c>
      <c r="C97" s="799" t="s">
        <v>38</v>
      </c>
      <c r="D97" s="800" t="s">
        <v>87</v>
      </c>
      <c r="E97" s="800" t="s">
        <v>36</v>
      </c>
      <c r="F97" s="801" t="s">
        <v>690</v>
      </c>
      <c r="G97" s="55"/>
      <c r="H97" s="267">
        <f>H98+H99</f>
        <v>6127.4999999999991</v>
      </c>
    </row>
    <row r="98" spans="1:8" ht="36" x14ac:dyDescent="0.35">
      <c r="A98" s="434"/>
      <c r="B98" s="677" t="s">
        <v>74</v>
      </c>
      <c r="C98" s="799" t="s">
        <v>38</v>
      </c>
      <c r="D98" s="800" t="s">
        <v>87</v>
      </c>
      <c r="E98" s="800" t="s">
        <v>36</v>
      </c>
      <c r="F98" s="801" t="s">
        <v>690</v>
      </c>
      <c r="G98" s="55" t="s">
        <v>75</v>
      </c>
      <c r="H98" s="267">
        <f>'прил8 (ведом 24)'!M490</f>
        <v>6072.5999999999995</v>
      </c>
    </row>
    <row r="99" spans="1:8" ht="18" x14ac:dyDescent="0.35">
      <c r="A99" s="434"/>
      <c r="B99" s="677" t="s">
        <v>55</v>
      </c>
      <c r="C99" s="799" t="s">
        <v>38</v>
      </c>
      <c r="D99" s="800" t="s">
        <v>87</v>
      </c>
      <c r="E99" s="800" t="s">
        <v>36</v>
      </c>
      <c r="F99" s="801" t="s">
        <v>690</v>
      </c>
      <c r="G99" s="55" t="s">
        <v>56</v>
      </c>
      <c r="H99" s="267">
        <f>'прил8 (ведом 24)'!M491</f>
        <v>54.9</v>
      </c>
    </row>
    <row r="100" spans="1:8" ht="162" x14ac:dyDescent="0.35">
      <c r="A100" s="434"/>
      <c r="B100" s="606" t="s">
        <v>282</v>
      </c>
      <c r="C100" s="258" t="s">
        <v>38</v>
      </c>
      <c r="D100" s="259" t="s">
        <v>87</v>
      </c>
      <c r="E100" s="259" t="s">
        <v>36</v>
      </c>
      <c r="F100" s="260" t="s">
        <v>283</v>
      </c>
      <c r="G100" s="73"/>
      <c r="H100" s="267">
        <f>H101</f>
        <v>108.3</v>
      </c>
    </row>
    <row r="101" spans="1:8" ht="36" x14ac:dyDescent="0.35">
      <c r="A101" s="434"/>
      <c r="B101" s="607" t="s">
        <v>74</v>
      </c>
      <c r="C101" s="258" t="s">
        <v>38</v>
      </c>
      <c r="D101" s="259" t="s">
        <v>87</v>
      </c>
      <c r="E101" s="259" t="s">
        <v>36</v>
      </c>
      <c r="F101" s="260" t="s">
        <v>283</v>
      </c>
      <c r="G101" s="73" t="s">
        <v>75</v>
      </c>
      <c r="H101" s="267">
        <f>'прил8 (ведом 24)'!M493</f>
        <v>108.3</v>
      </c>
    </row>
    <row r="102" spans="1:8" ht="90" x14ac:dyDescent="0.35">
      <c r="A102" s="434"/>
      <c r="B102" s="607" t="s">
        <v>365</v>
      </c>
      <c r="C102" s="258" t="s">
        <v>38</v>
      </c>
      <c r="D102" s="259" t="s">
        <v>87</v>
      </c>
      <c r="E102" s="259" t="s">
        <v>36</v>
      </c>
      <c r="F102" s="260" t="s">
        <v>284</v>
      </c>
      <c r="G102" s="73"/>
      <c r="H102" s="267">
        <f>SUM(H103:H104)</f>
        <v>13000</v>
      </c>
    </row>
    <row r="103" spans="1:8" ht="90" x14ac:dyDescent="0.35">
      <c r="A103" s="434"/>
      <c r="B103" s="610" t="s">
        <v>48</v>
      </c>
      <c r="C103" s="799" t="s">
        <v>38</v>
      </c>
      <c r="D103" s="800" t="s">
        <v>87</v>
      </c>
      <c r="E103" s="800" t="s">
        <v>36</v>
      </c>
      <c r="F103" s="801" t="s">
        <v>284</v>
      </c>
      <c r="G103" s="55" t="s">
        <v>49</v>
      </c>
      <c r="H103" s="267">
        <f>'прил8 (ведом 24)'!M495</f>
        <v>900</v>
      </c>
    </row>
    <row r="104" spans="1:8" ht="36" x14ac:dyDescent="0.35">
      <c r="A104" s="434"/>
      <c r="B104" s="607" t="s">
        <v>74</v>
      </c>
      <c r="C104" s="258" t="s">
        <v>38</v>
      </c>
      <c r="D104" s="259" t="s">
        <v>87</v>
      </c>
      <c r="E104" s="259" t="s">
        <v>36</v>
      </c>
      <c r="F104" s="260" t="s">
        <v>284</v>
      </c>
      <c r="G104" s="73" t="s">
        <v>75</v>
      </c>
      <c r="H104" s="267">
        <f>'прил8 (ведом 24)'!M496</f>
        <v>12100</v>
      </c>
    </row>
    <row r="105" spans="1:8" ht="18" x14ac:dyDescent="0.35">
      <c r="A105" s="434"/>
      <c r="B105" s="607" t="s">
        <v>291</v>
      </c>
      <c r="C105" s="258" t="s">
        <v>38</v>
      </c>
      <c r="D105" s="259" t="s">
        <v>87</v>
      </c>
      <c r="E105" s="259" t="s">
        <v>38</v>
      </c>
      <c r="F105" s="260" t="s">
        <v>43</v>
      </c>
      <c r="G105" s="73"/>
      <c r="H105" s="267">
        <f>H106</f>
        <v>54</v>
      </c>
    </row>
    <row r="106" spans="1:8" ht="36" x14ac:dyDescent="0.35">
      <c r="A106" s="434"/>
      <c r="B106" s="607" t="s">
        <v>292</v>
      </c>
      <c r="C106" s="258" t="s">
        <v>38</v>
      </c>
      <c r="D106" s="259" t="s">
        <v>87</v>
      </c>
      <c r="E106" s="259" t="s">
        <v>38</v>
      </c>
      <c r="F106" s="260" t="s">
        <v>293</v>
      </c>
      <c r="G106" s="73"/>
      <c r="H106" s="267">
        <f>H107</f>
        <v>54</v>
      </c>
    </row>
    <row r="107" spans="1:8" ht="18" x14ac:dyDescent="0.35">
      <c r="A107" s="434"/>
      <c r="B107" s="607" t="s">
        <v>118</v>
      </c>
      <c r="C107" s="258" t="s">
        <v>38</v>
      </c>
      <c r="D107" s="259" t="s">
        <v>87</v>
      </c>
      <c r="E107" s="259" t="s">
        <v>38</v>
      </c>
      <c r="F107" s="260" t="s">
        <v>293</v>
      </c>
      <c r="G107" s="73" t="s">
        <v>119</v>
      </c>
      <c r="H107" s="267">
        <f>'прил8 (ведом 24)'!M508</f>
        <v>54</v>
      </c>
    </row>
    <row r="108" spans="1:8" ht="36" x14ac:dyDescent="0.35">
      <c r="A108" s="434"/>
      <c r="B108" s="606" t="s">
        <v>210</v>
      </c>
      <c r="C108" s="258" t="s">
        <v>38</v>
      </c>
      <c r="D108" s="259" t="s">
        <v>29</v>
      </c>
      <c r="E108" s="259" t="s">
        <v>42</v>
      </c>
      <c r="F108" s="260" t="s">
        <v>43</v>
      </c>
      <c r="G108" s="297"/>
      <c r="H108" s="267">
        <f>H109+H133+H138+H141+H144</f>
        <v>103332.36800000003</v>
      </c>
    </row>
    <row r="109" spans="1:8" ht="36" x14ac:dyDescent="0.35">
      <c r="A109" s="434"/>
      <c r="B109" s="606" t="s">
        <v>296</v>
      </c>
      <c r="C109" s="258" t="s">
        <v>38</v>
      </c>
      <c r="D109" s="259" t="s">
        <v>29</v>
      </c>
      <c r="E109" s="259" t="s">
        <v>36</v>
      </c>
      <c r="F109" s="260" t="s">
        <v>43</v>
      </c>
      <c r="G109" s="297"/>
      <c r="H109" s="267">
        <f>H110+H114+H131+H128+H119+H122+H124+H126</f>
        <v>94914.650000000023</v>
      </c>
    </row>
    <row r="110" spans="1:8" ht="36" x14ac:dyDescent="0.35">
      <c r="A110" s="434"/>
      <c r="B110" s="606" t="s">
        <v>46</v>
      </c>
      <c r="C110" s="258" t="s">
        <v>38</v>
      </c>
      <c r="D110" s="259" t="s">
        <v>29</v>
      </c>
      <c r="E110" s="259" t="s">
        <v>36</v>
      </c>
      <c r="F110" s="260" t="s">
        <v>47</v>
      </c>
      <c r="G110" s="73"/>
      <c r="H110" s="267">
        <f>SUM(H111:H113)</f>
        <v>13705.739</v>
      </c>
    </row>
    <row r="111" spans="1:8" ht="90" x14ac:dyDescent="0.35">
      <c r="A111" s="434"/>
      <c r="B111" s="606" t="s">
        <v>48</v>
      </c>
      <c r="C111" s="258" t="s">
        <v>38</v>
      </c>
      <c r="D111" s="259" t="s">
        <v>29</v>
      </c>
      <c r="E111" s="259" t="s">
        <v>36</v>
      </c>
      <c r="F111" s="260" t="s">
        <v>47</v>
      </c>
      <c r="G111" s="73" t="s">
        <v>49</v>
      </c>
      <c r="H111" s="267">
        <f>'прил8 (ведом 24)'!M512</f>
        <v>12881.5</v>
      </c>
    </row>
    <row r="112" spans="1:8" ht="36" x14ac:dyDescent="0.35">
      <c r="A112" s="434"/>
      <c r="B112" s="606" t="s">
        <v>53</v>
      </c>
      <c r="C112" s="258" t="s">
        <v>38</v>
      </c>
      <c r="D112" s="259" t="s">
        <v>29</v>
      </c>
      <c r="E112" s="259" t="s">
        <v>36</v>
      </c>
      <c r="F112" s="260" t="s">
        <v>47</v>
      </c>
      <c r="G112" s="73" t="s">
        <v>54</v>
      </c>
      <c r="H112" s="267">
        <f>'прил8 (ведом 24)'!M513</f>
        <v>807.73900000000003</v>
      </c>
    </row>
    <row r="113" spans="1:8" ht="18" x14ac:dyDescent="0.35">
      <c r="A113" s="434"/>
      <c r="B113" s="606" t="s">
        <v>55</v>
      </c>
      <c r="C113" s="258" t="s">
        <v>38</v>
      </c>
      <c r="D113" s="259" t="s">
        <v>29</v>
      </c>
      <c r="E113" s="259" t="s">
        <v>36</v>
      </c>
      <c r="F113" s="260" t="s">
        <v>47</v>
      </c>
      <c r="G113" s="73" t="s">
        <v>56</v>
      </c>
      <c r="H113" s="267">
        <f>'прил8 (ведом 24)'!M514</f>
        <v>16.5</v>
      </c>
    </row>
    <row r="114" spans="1:8" ht="36" x14ac:dyDescent="0.35">
      <c r="A114" s="434"/>
      <c r="B114" s="606" t="s">
        <v>484</v>
      </c>
      <c r="C114" s="258" t="s">
        <v>38</v>
      </c>
      <c r="D114" s="259" t="s">
        <v>29</v>
      </c>
      <c r="E114" s="259" t="s">
        <v>36</v>
      </c>
      <c r="F114" s="260" t="s">
        <v>89</v>
      </c>
      <c r="G114" s="73"/>
      <c r="H114" s="267">
        <f>SUM(H115:H118)</f>
        <v>66067.911000000007</v>
      </c>
    </row>
    <row r="115" spans="1:8" ht="90" x14ac:dyDescent="0.35">
      <c r="A115" s="434"/>
      <c r="B115" s="606" t="s">
        <v>48</v>
      </c>
      <c r="C115" s="258" t="s">
        <v>38</v>
      </c>
      <c r="D115" s="259" t="s">
        <v>29</v>
      </c>
      <c r="E115" s="259" t="s">
        <v>36</v>
      </c>
      <c r="F115" s="260" t="s">
        <v>89</v>
      </c>
      <c r="G115" s="73" t="s">
        <v>49</v>
      </c>
      <c r="H115" s="267">
        <f>'прил8 (ведом 24)'!M516</f>
        <v>40927.799999999996</v>
      </c>
    </row>
    <row r="116" spans="1:8" ht="36" x14ac:dyDescent="0.35">
      <c r="A116" s="434"/>
      <c r="B116" s="606" t="s">
        <v>53</v>
      </c>
      <c r="C116" s="258" t="s">
        <v>38</v>
      </c>
      <c r="D116" s="259" t="s">
        <v>29</v>
      </c>
      <c r="E116" s="259" t="s">
        <v>36</v>
      </c>
      <c r="F116" s="260" t="s">
        <v>89</v>
      </c>
      <c r="G116" s="73" t="s">
        <v>54</v>
      </c>
      <c r="H116" s="267">
        <f>'прил8 (ведом 24)'!M517</f>
        <v>3264.7109999999998</v>
      </c>
    </row>
    <row r="117" spans="1:8" ht="36" x14ac:dyDescent="0.35">
      <c r="A117" s="434"/>
      <c r="B117" s="607" t="s">
        <v>74</v>
      </c>
      <c r="C117" s="258" t="s">
        <v>38</v>
      </c>
      <c r="D117" s="259" t="s">
        <v>29</v>
      </c>
      <c r="E117" s="259" t="s">
        <v>36</v>
      </c>
      <c r="F117" s="260" t="s">
        <v>89</v>
      </c>
      <c r="G117" s="73" t="s">
        <v>75</v>
      </c>
      <c r="H117" s="267">
        <f>'прил8 (ведом 24)'!M518</f>
        <v>21870.600000000002</v>
      </c>
    </row>
    <row r="118" spans="1:8" ht="18" x14ac:dyDescent="0.35">
      <c r="A118" s="434"/>
      <c r="B118" s="606" t="s">
        <v>55</v>
      </c>
      <c r="C118" s="258" t="s">
        <v>38</v>
      </c>
      <c r="D118" s="259" t="s">
        <v>29</v>
      </c>
      <c r="E118" s="259" t="s">
        <v>36</v>
      </c>
      <c r="F118" s="260" t="s">
        <v>89</v>
      </c>
      <c r="G118" s="73" t="s">
        <v>56</v>
      </c>
      <c r="H118" s="267">
        <f>'прил8 (ведом 24)'!M519</f>
        <v>4.8</v>
      </c>
    </row>
    <row r="119" spans="1:8" ht="36" x14ac:dyDescent="0.35">
      <c r="A119" s="434"/>
      <c r="B119" s="607" t="s">
        <v>206</v>
      </c>
      <c r="C119" s="258" t="s">
        <v>38</v>
      </c>
      <c r="D119" s="259" t="s">
        <v>29</v>
      </c>
      <c r="E119" s="259" t="s">
        <v>36</v>
      </c>
      <c r="F119" s="260" t="s">
        <v>288</v>
      </c>
      <c r="G119" s="73"/>
      <c r="H119" s="267">
        <f>H120+H121</f>
        <v>4213.8</v>
      </c>
    </row>
    <row r="120" spans="1:8" ht="36" x14ac:dyDescent="0.35">
      <c r="A120" s="434"/>
      <c r="B120" s="607" t="s">
        <v>53</v>
      </c>
      <c r="C120" s="258" t="s">
        <v>38</v>
      </c>
      <c r="D120" s="259" t="s">
        <v>29</v>
      </c>
      <c r="E120" s="259" t="s">
        <v>36</v>
      </c>
      <c r="F120" s="260" t="s">
        <v>288</v>
      </c>
      <c r="G120" s="73" t="s">
        <v>54</v>
      </c>
      <c r="H120" s="267">
        <f>'прил8 (ведом 24)'!M521</f>
        <v>10</v>
      </c>
    </row>
    <row r="121" spans="1:8" ht="36" x14ac:dyDescent="0.35">
      <c r="A121" s="434"/>
      <c r="B121" s="610" t="s">
        <v>74</v>
      </c>
      <c r="C121" s="799" t="s">
        <v>38</v>
      </c>
      <c r="D121" s="800" t="s">
        <v>29</v>
      </c>
      <c r="E121" s="800" t="s">
        <v>36</v>
      </c>
      <c r="F121" s="801" t="s">
        <v>288</v>
      </c>
      <c r="G121" s="55" t="s">
        <v>75</v>
      </c>
      <c r="H121" s="267">
        <f>'прил8 (ведом 24)'!M522</f>
        <v>4203.8</v>
      </c>
    </row>
    <row r="122" spans="1:8" ht="36" x14ac:dyDescent="0.35">
      <c r="A122" s="434"/>
      <c r="B122" s="642" t="s">
        <v>544</v>
      </c>
      <c r="C122" s="142" t="s">
        <v>38</v>
      </c>
      <c r="D122" s="132" t="s">
        <v>29</v>
      </c>
      <c r="E122" s="132" t="s">
        <v>36</v>
      </c>
      <c r="F122" s="133" t="s">
        <v>543</v>
      </c>
      <c r="G122" s="134"/>
      <c r="H122" s="267">
        <f>H123</f>
        <v>4.5</v>
      </c>
    </row>
    <row r="123" spans="1:8" ht="36" x14ac:dyDescent="0.35">
      <c r="A123" s="434"/>
      <c r="B123" s="610" t="s">
        <v>53</v>
      </c>
      <c r="C123" s="750" t="s">
        <v>38</v>
      </c>
      <c r="D123" s="751" t="s">
        <v>29</v>
      </c>
      <c r="E123" s="751" t="s">
        <v>36</v>
      </c>
      <c r="F123" s="338" t="s">
        <v>543</v>
      </c>
      <c r="G123" s="586" t="s">
        <v>54</v>
      </c>
      <c r="H123" s="267">
        <f>'прил8 (ведом 24)'!M502</f>
        <v>4.5</v>
      </c>
    </row>
    <row r="124" spans="1:8" ht="54" x14ac:dyDescent="0.35">
      <c r="A124" s="434"/>
      <c r="B124" s="676" t="s">
        <v>401</v>
      </c>
      <c r="C124" s="792" t="s">
        <v>38</v>
      </c>
      <c r="D124" s="793" t="s">
        <v>29</v>
      </c>
      <c r="E124" s="793" t="s">
        <v>36</v>
      </c>
      <c r="F124" s="502" t="s">
        <v>400</v>
      </c>
      <c r="G124" s="128"/>
      <c r="H124" s="267">
        <f>H125</f>
        <v>65.7</v>
      </c>
    </row>
    <row r="125" spans="1:8" ht="36" x14ac:dyDescent="0.35">
      <c r="A125" s="434"/>
      <c r="B125" s="676" t="s">
        <v>53</v>
      </c>
      <c r="C125" s="792" t="s">
        <v>38</v>
      </c>
      <c r="D125" s="793" t="s">
        <v>29</v>
      </c>
      <c r="E125" s="793" t="s">
        <v>36</v>
      </c>
      <c r="F125" s="502" t="s">
        <v>400</v>
      </c>
      <c r="G125" s="128" t="s">
        <v>54</v>
      </c>
      <c r="H125" s="267">
        <f>'прил8 (ведом 24)'!M390</f>
        <v>65.7</v>
      </c>
    </row>
    <row r="126" spans="1:8" ht="36" x14ac:dyDescent="0.35">
      <c r="A126" s="434"/>
      <c r="B126" s="610" t="s">
        <v>733</v>
      </c>
      <c r="C126" s="799" t="s">
        <v>38</v>
      </c>
      <c r="D126" s="800" t="s">
        <v>29</v>
      </c>
      <c r="E126" s="800" t="s">
        <v>36</v>
      </c>
      <c r="F126" s="801" t="s">
        <v>734</v>
      </c>
      <c r="G126" s="55"/>
      <c r="H126" s="267">
        <f>H127</f>
        <v>518.6</v>
      </c>
    </row>
    <row r="127" spans="1:8" ht="36" x14ac:dyDescent="0.35">
      <c r="A127" s="434"/>
      <c r="B127" s="610" t="s">
        <v>74</v>
      </c>
      <c r="C127" s="799" t="s">
        <v>38</v>
      </c>
      <c r="D127" s="800" t="s">
        <v>29</v>
      </c>
      <c r="E127" s="800" t="s">
        <v>36</v>
      </c>
      <c r="F127" s="801" t="s">
        <v>734</v>
      </c>
      <c r="G127" s="55" t="s">
        <v>75</v>
      </c>
      <c r="H127" s="267">
        <f>'прил8 (ведом 24)'!M524</f>
        <v>518.6</v>
      </c>
    </row>
    <row r="128" spans="1:8" ht="90" x14ac:dyDescent="0.35">
      <c r="A128" s="434"/>
      <c r="B128" s="607" t="s">
        <v>365</v>
      </c>
      <c r="C128" s="258" t="s">
        <v>38</v>
      </c>
      <c r="D128" s="259" t="s">
        <v>29</v>
      </c>
      <c r="E128" s="259" t="s">
        <v>36</v>
      </c>
      <c r="F128" s="260" t="s">
        <v>284</v>
      </c>
      <c r="G128" s="73"/>
      <c r="H128" s="267">
        <f>H129+H130</f>
        <v>7959.3</v>
      </c>
    </row>
    <row r="129" spans="1:8" ht="90" x14ac:dyDescent="0.35">
      <c r="A129" s="434"/>
      <c r="B129" s="607" t="s">
        <v>48</v>
      </c>
      <c r="C129" s="258" t="s">
        <v>38</v>
      </c>
      <c r="D129" s="259" t="s">
        <v>29</v>
      </c>
      <c r="E129" s="259" t="s">
        <v>36</v>
      </c>
      <c r="F129" s="260" t="s">
        <v>284</v>
      </c>
      <c r="G129" s="73" t="s">
        <v>49</v>
      </c>
      <c r="H129" s="267">
        <f>'прил8 (ведом 24)'!M526</f>
        <v>7200</v>
      </c>
    </row>
    <row r="130" spans="1:8" ht="36" x14ac:dyDescent="0.35">
      <c r="A130" s="434"/>
      <c r="B130" s="610" t="s">
        <v>53</v>
      </c>
      <c r="C130" s="799" t="s">
        <v>38</v>
      </c>
      <c r="D130" s="800" t="s">
        <v>29</v>
      </c>
      <c r="E130" s="800" t="s">
        <v>36</v>
      </c>
      <c r="F130" s="801" t="s">
        <v>284</v>
      </c>
      <c r="G130" s="55" t="s">
        <v>54</v>
      </c>
      <c r="H130" s="267">
        <f>'прил8 (ведом 24)'!M527</f>
        <v>759.3</v>
      </c>
    </row>
    <row r="131" spans="1:8" ht="216" x14ac:dyDescent="0.35">
      <c r="A131" s="434"/>
      <c r="B131" s="607" t="s">
        <v>454</v>
      </c>
      <c r="C131" s="258" t="s">
        <v>38</v>
      </c>
      <c r="D131" s="259" t="s">
        <v>29</v>
      </c>
      <c r="E131" s="259" t="s">
        <v>36</v>
      </c>
      <c r="F131" s="260" t="s">
        <v>366</v>
      </c>
      <c r="G131" s="73"/>
      <c r="H131" s="267">
        <f>SUM(H132:H132)</f>
        <v>2379.1</v>
      </c>
    </row>
    <row r="132" spans="1:8" ht="36" x14ac:dyDescent="0.35">
      <c r="A132" s="434"/>
      <c r="B132" s="606" t="s">
        <v>74</v>
      </c>
      <c r="C132" s="258" t="s">
        <v>38</v>
      </c>
      <c r="D132" s="259" t="s">
        <v>29</v>
      </c>
      <c r="E132" s="259" t="s">
        <v>36</v>
      </c>
      <c r="F132" s="260" t="s">
        <v>366</v>
      </c>
      <c r="G132" s="73" t="s">
        <v>75</v>
      </c>
      <c r="H132" s="267">
        <f>'прил8 (ведом 24)'!M476</f>
        <v>2379.1</v>
      </c>
    </row>
    <row r="133" spans="1:8" ht="36" x14ac:dyDescent="0.35">
      <c r="A133" s="434"/>
      <c r="B133" s="607" t="s">
        <v>295</v>
      </c>
      <c r="C133" s="258" t="s">
        <v>38</v>
      </c>
      <c r="D133" s="259" t="s">
        <v>29</v>
      </c>
      <c r="E133" s="259" t="s">
        <v>38</v>
      </c>
      <c r="F133" s="260" t="s">
        <v>43</v>
      </c>
      <c r="G133" s="73"/>
      <c r="H133" s="267">
        <f>H134+H136</f>
        <v>7962.8</v>
      </c>
    </row>
    <row r="134" spans="1:8" ht="36" x14ac:dyDescent="0.35">
      <c r="A134" s="434"/>
      <c r="B134" s="607" t="s">
        <v>490</v>
      </c>
      <c r="C134" s="258" t="s">
        <v>38</v>
      </c>
      <c r="D134" s="259" t="s">
        <v>29</v>
      </c>
      <c r="E134" s="259" t="s">
        <v>38</v>
      </c>
      <c r="F134" s="260" t="s">
        <v>489</v>
      </c>
      <c r="G134" s="73"/>
      <c r="H134" s="267">
        <f>H135</f>
        <v>2394.8000000000002</v>
      </c>
    </row>
    <row r="135" spans="1:8" ht="36" x14ac:dyDescent="0.35">
      <c r="A135" s="434"/>
      <c r="B135" s="607" t="s">
        <v>74</v>
      </c>
      <c r="C135" s="258" t="s">
        <v>38</v>
      </c>
      <c r="D135" s="259" t="s">
        <v>29</v>
      </c>
      <c r="E135" s="259" t="s">
        <v>38</v>
      </c>
      <c r="F135" s="260" t="s">
        <v>489</v>
      </c>
      <c r="G135" s="73" t="s">
        <v>75</v>
      </c>
      <c r="H135" s="267">
        <f>'прил8 (ведом 24)'!M530</f>
        <v>2394.8000000000002</v>
      </c>
    </row>
    <row r="136" spans="1:8" ht="108" x14ac:dyDescent="0.35">
      <c r="A136" s="434"/>
      <c r="B136" s="607" t="s">
        <v>461</v>
      </c>
      <c r="C136" s="258" t="s">
        <v>38</v>
      </c>
      <c r="D136" s="259" t="s">
        <v>29</v>
      </c>
      <c r="E136" s="259" t="s">
        <v>38</v>
      </c>
      <c r="F136" s="260" t="s">
        <v>460</v>
      </c>
      <c r="G136" s="73"/>
      <c r="H136" s="267">
        <f>H137</f>
        <v>5568</v>
      </c>
    </row>
    <row r="137" spans="1:8" ht="36" x14ac:dyDescent="0.35">
      <c r="A137" s="434"/>
      <c r="B137" s="607" t="s">
        <v>74</v>
      </c>
      <c r="C137" s="258" t="s">
        <v>38</v>
      </c>
      <c r="D137" s="259" t="s">
        <v>29</v>
      </c>
      <c r="E137" s="259" t="s">
        <v>38</v>
      </c>
      <c r="F137" s="260" t="s">
        <v>460</v>
      </c>
      <c r="G137" s="73" t="s">
        <v>75</v>
      </c>
      <c r="H137" s="267">
        <f>'прил8 (ведом 24)'!M532</f>
        <v>5568</v>
      </c>
    </row>
    <row r="138" spans="1:8" ht="36" x14ac:dyDescent="0.35">
      <c r="A138" s="434"/>
      <c r="B138" s="612" t="s">
        <v>371</v>
      </c>
      <c r="C138" s="792" t="s">
        <v>38</v>
      </c>
      <c r="D138" s="793" t="s">
        <v>29</v>
      </c>
      <c r="E138" s="793" t="s">
        <v>61</v>
      </c>
      <c r="F138" s="794" t="s">
        <v>43</v>
      </c>
      <c r="G138" s="297"/>
      <c r="H138" s="267">
        <f>H139</f>
        <v>233.11800000000002</v>
      </c>
    </row>
    <row r="139" spans="1:8" ht="54" x14ac:dyDescent="0.35">
      <c r="A139" s="434"/>
      <c r="B139" s="612" t="s">
        <v>492</v>
      </c>
      <c r="C139" s="792" t="s">
        <v>38</v>
      </c>
      <c r="D139" s="793" t="s">
        <v>29</v>
      </c>
      <c r="E139" s="793" t="s">
        <v>61</v>
      </c>
      <c r="F139" s="794" t="s">
        <v>103</v>
      </c>
      <c r="G139" s="297"/>
      <c r="H139" s="267">
        <f>H140</f>
        <v>233.11800000000002</v>
      </c>
    </row>
    <row r="140" spans="1:8" ht="36" x14ac:dyDescent="0.35">
      <c r="A140" s="434"/>
      <c r="B140" s="612" t="s">
        <v>53</v>
      </c>
      <c r="C140" s="792" t="s">
        <v>38</v>
      </c>
      <c r="D140" s="793" t="s">
        <v>29</v>
      </c>
      <c r="E140" s="793" t="s">
        <v>61</v>
      </c>
      <c r="F140" s="794" t="s">
        <v>103</v>
      </c>
      <c r="G140" s="297" t="s">
        <v>54</v>
      </c>
      <c r="H140" s="267">
        <f>'прил8 (ведом 24)'!M393</f>
        <v>233.11800000000002</v>
      </c>
    </row>
    <row r="141" spans="1:8" ht="36" x14ac:dyDescent="0.35">
      <c r="A141" s="434"/>
      <c r="B141" s="612" t="s">
        <v>488</v>
      </c>
      <c r="C141" s="792" t="s">
        <v>38</v>
      </c>
      <c r="D141" s="793" t="s">
        <v>29</v>
      </c>
      <c r="E141" s="793" t="s">
        <v>50</v>
      </c>
      <c r="F141" s="794" t="s">
        <v>43</v>
      </c>
      <c r="G141" s="297"/>
      <c r="H141" s="267">
        <f>H142</f>
        <v>107</v>
      </c>
    </row>
    <row r="142" spans="1:8" ht="18" x14ac:dyDescent="0.35">
      <c r="A142" s="434"/>
      <c r="B142" s="612" t="s">
        <v>493</v>
      </c>
      <c r="C142" s="792" t="s">
        <v>38</v>
      </c>
      <c r="D142" s="793" t="s">
        <v>29</v>
      </c>
      <c r="E142" s="793" t="s">
        <v>50</v>
      </c>
      <c r="F142" s="794" t="s">
        <v>487</v>
      </c>
      <c r="G142" s="297"/>
      <c r="H142" s="267">
        <f>H143</f>
        <v>107</v>
      </c>
    </row>
    <row r="143" spans="1:8" ht="36" x14ac:dyDescent="0.35">
      <c r="A143" s="434"/>
      <c r="B143" s="612" t="s">
        <v>53</v>
      </c>
      <c r="C143" s="792" t="s">
        <v>38</v>
      </c>
      <c r="D143" s="793" t="s">
        <v>29</v>
      </c>
      <c r="E143" s="793" t="s">
        <v>50</v>
      </c>
      <c r="F143" s="794" t="s">
        <v>487</v>
      </c>
      <c r="G143" s="297" t="s">
        <v>54</v>
      </c>
      <c r="H143" s="267">
        <f>'прил8 (ведом 24)'!M396</f>
        <v>107</v>
      </c>
    </row>
    <row r="144" spans="1:8" ht="36" x14ac:dyDescent="0.35">
      <c r="A144" s="434"/>
      <c r="B144" s="612" t="s">
        <v>491</v>
      </c>
      <c r="C144" s="792" t="s">
        <v>38</v>
      </c>
      <c r="D144" s="793" t="s">
        <v>29</v>
      </c>
      <c r="E144" s="793" t="s">
        <v>63</v>
      </c>
      <c r="F144" s="794" t="s">
        <v>43</v>
      </c>
      <c r="G144" s="297"/>
      <c r="H144" s="267">
        <f>H145</f>
        <v>114.8</v>
      </c>
    </row>
    <row r="145" spans="1:8" ht="36" x14ac:dyDescent="0.35">
      <c r="A145" s="434"/>
      <c r="B145" s="612" t="s">
        <v>125</v>
      </c>
      <c r="C145" s="792" t="s">
        <v>38</v>
      </c>
      <c r="D145" s="793" t="s">
        <v>29</v>
      </c>
      <c r="E145" s="793" t="s">
        <v>63</v>
      </c>
      <c r="F145" s="794" t="s">
        <v>88</v>
      </c>
      <c r="G145" s="297"/>
      <c r="H145" s="267">
        <f>H146</f>
        <v>114.8</v>
      </c>
    </row>
    <row r="146" spans="1:8" ht="36" x14ac:dyDescent="0.35">
      <c r="A146" s="434"/>
      <c r="B146" s="612" t="s">
        <v>53</v>
      </c>
      <c r="C146" s="792" t="s">
        <v>38</v>
      </c>
      <c r="D146" s="793" t="s">
        <v>29</v>
      </c>
      <c r="E146" s="793" t="s">
        <v>63</v>
      </c>
      <c r="F146" s="794" t="s">
        <v>88</v>
      </c>
      <c r="G146" s="297" t="s">
        <v>54</v>
      </c>
      <c r="H146" s="267">
        <f>'прил8 (ведом 24)'!M399</f>
        <v>114.8</v>
      </c>
    </row>
    <row r="147" spans="1:8" ht="18" x14ac:dyDescent="0.35">
      <c r="A147" s="434"/>
      <c r="B147" s="613"/>
      <c r="C147" s="792"/>
      <c r="D147" s="793"/>
      <c r="E147" s="793"/>
      <c r="F147" s="794"/>
      <c r="G147" s="297"/>
      <c r="H147" s="267"/>
    </row>
    <row r="148" spans="1:8" s="444" customFormat="1" ht="52.2" x14ac:dyDescent="0.3">
      <c r="A148" s="449">
        <v>2</v>
      </c>
      <c r="B148" s="605" t="s">
        <v>211</v>
      </c>
      <c r="C148" s="450" t="s">
        <v>61</v>
      </c>
      <c r="D148" s="450" t="s">
        <v>41</v>
      </c>
      <c r="E148" s="450" t="s">
        <v>42</v>
      </c>
      <c r="F148" s="451" t="s">
        <v>43</v>
      </c>
      <c r="G148" s="443"/>
      <c r="H148" s="310">
        <f>H149+H185+H192</f>
        <v>142881.49999999997</v>
      </c>
    </row>
    <row r="149" spans="1:8" s="444" customFormat="1" ht="54" x14ac:dyDescent="0.35">
      <c r="A149" s="434"/>
      <c r="B149" s="614" t="s">
        <v>212</v>
      </c>
      <c r="C149" s="258" t="s">
        <v>61</v>
      </c>
      <c r="D149" s="259" t="s">
        <v>44</v>
      </c>
      <c r="E149" s="259" t="s">
        <v>42</v>
      </c>
      <c r="F149" s="260" t="s">
        <v>43</v>
      </c>
      <c r="G149" s="297"/>
      <c r="H149" s="267">
        <f>H150+H161+H164+H175+H182</f>
        <v>125058.79999999997</v>
      </c>
    </row>
    <row r="150" spans="1:8" s="444" customFormat="1" ht="36" x14ac:dyDescent="0.35">
      <c r="A150" s="434"/>
      <c r="B150" s="614" t="s">
        <v>290</v>
      </c>
      <c r="C150" s="258" t="s">
        <v>61</v>
      </c>
      <c r="D150" s="259" t="s">
        <v>44</v>
      </c>
      <c r="E150" s="259" t="s">
        <v>36</v>
      </c>
      <c r="F150" s="260" t="s">
        <v>43</v>
      </c>
      <c r="G150" s="297"/>
      <c r="H150" s="267">
        <f>H151+H155+H153+H159+H157</f>
        <v>88492.599999999962</v>
      </c>
    </row>
    <row r="151" spans="1:8" s="444" customFormat="1" ht="36" x14ac:dyDescent="0.35">
      <c r="A151" s="434"/>
      <c r="B151" s="606" t="s">
        <v>484</v>
      </c>
      <c r="C151" s="258" t="s">
        <v>61</v>
      </c>
      <c r="D151" s="259" t="s">
        <v>44</v>
      </c>
      <c r="E151" s="259" t="s">
        <v>36</v>
      </c>
      <c r="F151" s="260" t="s">
        <v>89</v>
      </c>
      <c r="G151" s="73"/>
      <c r="H151" s="267">
        <f>H152</f>
        <v>70395.39999999998</v>
      </c>
    </row>
    <row r="152" spans="1:8" s="444" customFormat="1" ht="36" x14ac:dyDescent="0.35">
      <c r="A152" s="434"/>
      <c r="B152" s="609" t="s">
        <v>74</v>
      </c>
      <c r="C152" s="258" t="s">
        <v>61</v>
      </c>
      <c r="D152" s="259" t="s">
        <v>44</v>
      </c>
      <c r="E152" s="259" t="s">
        <v>36</v>
      </c>
      <c r="F152" s="260" t="s">
        <v>89</v>
      </c>
      <c r="G152" s="73" t="s">
        <v>75</v>
      </c>
      <c r="H152" s="267">
        <f>'прил8 (ведом 24)'!M570</f>
        <v>70395.39999999998</v>
      </c>
    </row>
    <row r="153" spans="1:8" s="444" customFormat="1" ht="18" x14ac:dyDescent="0.35">
      <c r="A153" s="434"/>
      <c r="B153" s="615" t="s">
        <v>485</v>
      </c>
      <c r="C153" s="258" t="s">
        <v>61</v>
      </c>
      <c r="D153" s="259" t="s">
        <v>44</v>
      </c>
      <c r="E153" s="259" t="s">
        <v>36</v>
      </c>
      <c r="F153" s="260" t="s">
        <v>402</v>
      </c>
      <c r="G153" s="73"/>
      <c r="H153" s="267">
        <f>H154</f>
        <v>1291.9000000000001</v>
      </c>
    </row>
    <row r="154" spans="1:8" s="444" customFormat="1" ht="36" x14ac:dyDescent="0.35">
      <c r="A154" s="434"/>
      <c r="B154" s="615" t="s">
        <v>74</v>
      </c>
      <c r="C154" s="258" t="s">
        <v>61</v>
      </c>
      <c r="D154" s="259" t="s">
        <v>44</v>
      </c>
      <c r="E154" s="259" t="s">
        <v>36</v>
      </c>
      <c r="F154" s="260" t="s">
        <v>402</v>
      </c>
      <c r="G154" s="73" t="s">
        <v>75</v>
      </c>
      <c r="H154" s="267">
        <f>'прил8 (ведом 24)'!M572</f>
        <v>1291.9000000000001</v>
      </c>
    </row>
    <row r="155" spans="1:8" s="444" customFormat="1" ht="36" x14ac:dyDescent="0.35">
      <c r="A155" s="434"/>
      <c r="B155" s="615" t="s">
        <v>335</v>
      </c>
      <c r="C155" s="258" t="s">
        <v>61</v>
      </c>
      <c r="D155" s="259" t="s">
        <v>44</v>
      </c>
      <c r="E155" s="259" t="s">
        <v>36</v>
      </c>
      <c r="F155" s="260" t="s">
        <v>336</v>
      </c>
      <c r="G155" s="73"/>
      <c r="H155" s="267">
        <f>H156</f>
        <v>10223.4</v>
      </c>
    </row>
    <row r="156" spans="1:8" s="444" customFormat="1" ht="36" x14ac:dyDescent="0.35">
      <c r="A156" s="434"/>
      <c r="B156" s="615" t="s">
        <v>74</v>
      </c>
      <c r="C156" s="258" t="s">
        <v>61</v>
      </c>
      <c r="D156" s="259" t="s">
        <v>44</v>
      </c>
      <c r="E156" s="259" t="s">
        <v>36</v>
      </c>
      <c r="F156" s="260" t="s">
        <v>336</v>
      </c>
      <c r="G156" s="73" t="s">
        <v>75</v>
      </c>
      <c r="H156" s="267">
        <f>'прил8 (ведом 24)'!M574</f>
        <v>10223.4</v>
      </c>
    </row>
    <row r="157" spans="1:8" s="444" customFormat="1" ht="54" x14ac:dyDescent="0.35">
      <c r="A157" s="434"/>
      <c r="B157" s="617" t="s">
        <v>738</v>
      </c>
      <c r="C157" s="799" t="s">
        <v>61</v>
      </c>
      <c r="D157" s="800" t="s">
        <v>44</v>
      </c>
      <c r="E157" s="800" t="s">
        <v>36</v>
      </c>
      <c r="F157" s="801" t="s">
        <v>737</v>
      </c>
      <c r="G157" s="55"/>
      <c r="H157" s="267">
        <f>H158</f>
        <v>500</v>
      </c>
    </row>
    <row r="158" spans="1:8" s="444" customFormat="1" ht="36" x14ac:dyDescent="0.35">
      <c r="A158" s="434"/>
      <c r="B158" s="617" t="s">
        <v>74</v>
      </c>
      <c r="C158" s="799" t="s">
        <v>61</v>
      </c>
      <c r="D158" s="800" t="s">
        <v>44</v>
      </c>
      <c r="E158" s="800" t="s">
        <v>36</v>
      </c>
      <c r="F158" s="801" t="s">
        <v>737</v>
      </c>
      <c r="G158" s="55" t="s">
        <v>75</v>
      </c>
      <c r="H158" s="267">
        <f>'прил8 (ведом 24)'!M576</f>
        <v>500</v>
      </c>
    </row>
    <row r="159" spans="1:8" s="444" customFormat="1" ht="162" x14ac:dyDescent="0.35">
      <c r="A159" s="434"/>
      <c r="B159" s="617" t="s">
        <v>676</v>
      </c>
      <c r="C159" s="799" t="s">
        <v>61</v>
      </c>
      <c r="D159" s="800" t="s">
        <v>44</v>
      </c>
      <c r="E159" s="800" t="s">
        <v>36</v>
      </c>
      <c r="F159" s="801" t="s">
        <v>670</v>
      </c>
      <c r="G159" s="55"/>
      <c r="H159" s="267">
        <f>H160</f>
        <v>6081.9</v>
      </c>
    </row>
    <row r="160" spans="1:8" s="444" customFormat="1" ht="36" x14ac:dyDescent="0.35">
      <c r="A160" s="434"/>
      <c r="B160" s="617" t="s">
        <v>74</v>
      </c>
      <c r="C160" s="799" t="s">
        <v>61</v>
      </c>
      <c r="D160" s="800" t="s">
        <v>44</v>
      </c>
      <c r="E160" s="800" t="s">
        <v>36</v>
      </c>
      <c r="F160" s="801" t="s">
        <v>670</v>
      </c>
      <c r="G160" s="55" t="s">
        <v>75</v>
      </c>
      <c r="H160" s="267">
        <f>'прил8 (ведом 24)'!M578</f>
        <v>6081.9</v>
      </c>
    </row>
    <row r="161" spans="1:8" ht="18" x14ac:dyDescent="0.35">
      <c r="A161" s="505"/>
      <c r="B161" s="609" t="s">
        <v>291</v>
      </c>
      <c r="C161" s="258" t="s">
        <v>61</v>
      </c>
      <c r="D161" s="259" t="s">
        <v>44</v>
      </c>
      <c r="E161" s="259" t="s">
        <v>38</v>
      </c>
      <c r="F161" s="260" t="s">
        <v>43</v>
      </c>
      <c r="G161" s="73"/>
      <c r="H161" s="506">
        <f>H162</f>
        <v>450</v>
      </c>
    </row>
    <row r="162" spans="1:8" s="444" customFormat="1" ht="36" x14ac:dyDescent="0.35">
      <c r="A162" s="434"/>
      <c r="B162" s="609" t="s">
        <v>209</v>
      </c>
      <c r="C162" s="258" t="s">
        <v>61</v>
      </c>
      <c r="D162" s="259" t="s">
        <v>44</v>
      </c>
      <c r="E162" s="259" t="s">
        <v>38</v>
      </c>
      <c r="F162" s="260" t="s">
        <v>293</v>
      </c>
      <c r="G162" s="73"/>
      <c r="H162" s="267">
        <f>H163</f>
        <v>450</v>
      </c>
    </row>
    <row r="163" spans="1:8" s="444" customFormat="1" ht="18" x14ac:dyDescent="0.35">
      <c r="A163" s="434"/>
      <c r="B163" s="609" t="s">
        <v>118</v>
      </c>
      <c r="C163" s="258" t="s">
        <v>61</v>
      </c>
      <c r="D163" s="259" t="s">
        <v>44</v>
      </c>
      <c r="E163" s="259" t="s">
        <v>38</v>
      </c>
      <c r="F163" s="260" t="s">
        <v>293</v>
      </c>
      <c r="G163" s="73" t="s">
        <v>119</v>
      </c>
      <c r="H163" s="267">
        <f>'прил8 (ведом 24)'!M584</f>
        <v>450</v>
      </c>
    </row>
    <row r="164" spans="1:8" s="444" customFormat="1" ht="18" x14ac:dyDescent="0.35">
      <c r="A164" s="434"/>
      <c r="B164" s="606" t="s">
        <v>337</v>
      </c>
      <c r="C164" s="452" t="s">
        <v>61</v>
      </c>
      <c r="D164" s="453" t="s">
        <v>44</v>
      </c>
      <c r="E164" s="453" t="s">
        <v>61</v>
      </c>
      <c r="F164" s="454" t="s">
        <v>43</v>
      </c>
      <c r="G164" s="455"/>
      <c r="H164" s="267">
        <f>H165+H167+H169+H171+H173</f>
        <v>18848.300000000003</v>
      </c>
    </row>
    <row r="165" spans="1:8" s="444" customFormat="1" ht="36" x14ac:dyDescent="0.35">
      <c r="A165" s="434"/>
      <c r="B165" s="606" t="s">
        <v>484</v>
      </c>
      <c r="C165" s="452" t="s">
        <v>61</v>
      </c>
      <c r="D165" s="453" t="s">
        <v>44</v>
      </c>
      <c r="E165" s="453" t="s">
        <v>61</v>
      </c>
      <c r="F165" s="454" t="s">
        <v>89</v>
      </c>
      <c r="G165" s="455"/>
      <c r="H165" s="267">
        <f>H166</f>
        <v>15939.5</v>
      </c>
    </row>
    <row r="166" spans="1:8" s="444" customFormat="1" ht="36" x14ac:dyDescent="0.35">
      <c r="A166" s="434"/>
      <c r="B166" s="609" t="s">
        <v>74</v>
      </c>
      <c r="C166" s="258" t="s">
        <v>61</v>
      </c>
      <c r="D166" s="259" t="s">
        <v>44</v>
      </c>
      <c r="E166" s="259" t="s">
        <v>61</v>
      </c>
      <c r="F166" s="260" t="s">
        <v>89</v>
      </c>
      <c r="G166" s="73" t="s">
        <v>75</v>
      </c>
      <c r="H166" s="267">
        <f>'прил8 (ведом 24)'!M594</f>
        <v>15939.5</v>
      </c>
    </row>
    <row r="167" spans="1:8" s="444" customFormat="1" ht="18" x14ac:dyDescent="0.35">
      <c r="A167" s="434"/>
      <c r="B167" s="616" t="s">
        <v>485</v>
      </c>
      <c r="C167" s="799" t="s">
        <v>61</v>
      </c>
      <c r="D167" s="800" t="s">
        <v>44</v>
      </c>
      <c r="E167" s="800" t="s">
        <v>61</v>
      </c>
      <c r="F167" s="801" t="s">
        <v>402</v>
      </c>
      <c r="G167" s="55"/>
      <c r="H167" s="267">
        <f>H168</f>
        <v>1169.9000000000001</v>
      </c>
    </row>
    <row r="168" spans="1:8" s="444" customFormat="1" ht="36" x14ac:dyDescent="0.35">
      <c r="A168" s="434"/>
      <c r="B168" s="617" t="s">
        <v>74</v>
      </c>
      <c r="C168" s="799" t="s">
        <v>61</v>
      </c>
      <c r="D168" s="800" t="s">
        <v>44</v>
      </c>
      <c r="E168" s="800" t="s">
        <v>61</v>
      </c>
      <c r="F168" s="801" t="s">
        <v>402</v>
      </c>
      <c r="G168" s="55" t="s">
        <v>75</v>
      </c>
      <c r="H168" s="267">
        <f>'прил8 (ведом 24)'!M596</f>
        <v>1169.9000000000001</v>
      </c>
    </row>
    <row r="169" spans="1:8" s="444" customFormat="1" ht="36" x14ac:dyDescent="0.35">
      <c r="A169" s="434"/>
      <c r="B169" s="609" t="s">
        <v>335</v>
      </c>
      <c r="C169" s="452" t="s">
        <v>61</v>
      </c>
      <c r="D169" s="453" t="s">
        <v>44</v>
      </c>
      <c r="E169" s="453" t="s">
        <v>61</v>
      </c>
      <c r="F169" s="454" t="s">
        <v>336</v>
      </c>
      <c r="G169" s="455"/>
      <c r="H169" s="267">
        <f>H170</f>
        <v>722.9</v>
      </c>
    </row>
    <row r="170" spans="1:8" s="444" customFormat="1" ht="36" x14ac:dyDescent="0.35">
      <c r="A170" s="434"/>
      <c r="B170" s="609" t="s">
        <v>74</v>
      </c>
      <c r="C170" s="452" t="s">
        <v>61</v>
      </c>
      <c r="D170" s="453" t="s">
        <v>44</v>
      </c>
      <c r="E170" s="453" t="s">
        <v>61</v>
      </c>
      <c r="F170" s="454" t="s">
        <v>336</v>
      </c>
      <c r="G170" s="455" t="s">
        <v>75</v>
      </c>
      <c r="H170" s="267">
        <f>'прил8 (ведом 24)'!M598</f>
        <v>722.9</v>
      </c>
    </row>
    <row r="171" spans="1:8" s="444" customFormat="1" ht="36" x14ac:dyDescent="0.35">
      <c r="A171" s="434"/>
      <c r="B171" s="609" t="s">
        <v>673</v>
      </c>
      <c r="C171" s="258" t="s">
        <v>61</v>
      </c>
      <c r="D171" s="259" t="s">
        <v>44</v>
      </c>
      <c r="E171" s="259" t="s">
        <v>61</v>
      </c>
      <c r="F171" s="260" t="s">
        <v>338</v>
      </c>
      <c r="G171" s="73"/>
      <c r="H171" s="267">
        <f>H172</f>
        <v>577</v>
      </c>
    </row>
    <row r="172" spans="1:8" s="444" customFormat="1" ht="36" x14ac:dyDescent="0.35">
      <c r="A172" s="434"/>
      <c r="B172" s="609" t="s">
        <v>74</v>
      </c>
      <c r="C172" s="258" t="s">
        <v>61</v>
      </c>
      <c r="D172" s="259" t="s">
        <v>44</v>
      </c>
      <c r="E172" s="259" t="s">
        <v>61</v>
      </c>
      <c r="F172" s="260" t="s">
        <v>338</v>
      </c>
      <c r="G172" s="73" t="s">
        <v>75</v>
      </c>
      <c r="H172" s="267">
        <f>'прил8 (ведом 24)'!M600</f>
        <v>577</v>
      </c>
    </row>
    <row r="173" spans="1:8" s="444" customFormat="1" ht="18" x14ac:dyDescent="0.35">
      <c r="A173" s="434"/>
      <c r="B173" s="615" t="s">
        <v>571</v>
      </c>
      <c r="C173" s="258" t="s">
        <v>61</v>
      </c>
      <c r="D173" s="259" t="s">
        <v>44</v>
      </c>
      <c r="E173" s="259" t="s">
        <v>61</v>
      </c>
      <c r="F173" s="260" t="s">
        <v>570</v>
      </c>
      <c r="G173" s="73"/>
      <c r="H173" s="267">
        <f>H174</f>
        <v>439</v>
      </c>
    </row>
    <row r="174" spans="1:8" s="444" customFormat="1" ht="36" x14ac:dyDescent="0.35">
      <c r="A174" s="434"/>
      <c r="B174" s="615" t="s">
        <v>74</v>
      </c>
      <c r="C174" s="258" t="s">
        <v>61</v>
      </c>
      <c r="D174" s="259" t="s">
        <v>44</v>
      </c>
      <c r="E174" s="259" t="s">
        <v>61</v>
      </c>
      <c r="F174" s="260" t="s">
        <v>570</v>
      </c>
      <c r="G174" s="73" t="s">
        <v>75</v>
      </c>
      <c r="H174" s="267">
        <f>'прил8 (ведом 24)'!M602</f>
        <v>439</v>
      </c>
    </row>
    <row r="175" spans="1:8" s="444" customFormat="1" ht="36" x14ac:dyDescent="0.35">
      <c r="A175" s="434"/>
      <c r="B175" s="609" t="s">
        <v>339</v>
      </c>
      <c r="C175" s="452" t="s">
        <v>61</v>
      </c>
      <c r="D175" s="453" t="s">
        <v>44</v>
      </c>
      <c r="E175" s="453" t="s">
        <v>50</v>
      </c>
      <c r="F175" s="260" t="s">
        <v>43</v>
      </c>
      <c r="G175" s="73"/>
      <c r="H175" s="267">
        <f>H176+H180</f>
        <v>16955.3</v>
      </c>
    </row>
    <row r="176" spans="1:8" s="444" customFormat="1" ht="36" x14ac:dyDescent="0.35">
      <c r="A176" s="434"/>
      <c r="B176" s="606" t="s">
        <v>484</v>
      </c>
      <c r="C176" s="452" t="s">
        <v>61</v>
      </c>
      <c r="D176" s="453" t="s">
        <v>44</v>
      </c>
      <c r="E176" s="453" t="s">
        <v>50</v>
      </c>
      <c r="F176" s="454" t="s">
        <v>89</v>
      </c>
      <c r="G176" s="455"/>
      <c r="H176" s="267">
        <f>SUM(H177:H179)</f>
        <v>16900</v>
      </c>
    </row>
    <row r="177" spans="1:8" s="444" customFormat="1" ht="90" x14ac:dyDescent="0.35">
      <c r="A177" s="434"/>
      <c r="B177" s="607" t="s">
        <v>48</v>
      </c>
      <c r="C177" s="258" t="s">
        <v>61</v>
      </c>
      <c r="D177" s="259" t="s">
        <v>44</v>
      </c>
      <c r="E177" s="259" t="s">
        <v>50</v>
      </c>
      <c r="F177" s="260" t="s">
        <v>89</v>
      </c>
      <c r="G177" s="73" t="s">
        <v>49</v>
      </c>
      <c r="H177" s="267">
        <f>'прил8 (ведом 24)'!M605</f>
        <v>15331</v>
      </c>
    </row>
    <row r="178" spans="1:8" s="444" customFormat="1" ht="36" x14ac:dyDescent="0.35">
      <c r="A178" s="434"/>
      <c r="B178" s="607" t="s">
        <v>53</v>
      </c>
      <c r="C178" s="258" t="s">
        <v>61</v>
      </c>
      <c r="D178" s="259" t="s">
        <v>44</v>
      </c>
      <c r="E178" s="259" t="s">
        <v>50</v>
      </c>
      <c r="F178" s="260" t="s">
        <v>89</v>
      </c>
      <c r="G178" s="73" t="s">
        <v>54</v>
      </c>
      <c r="H178" s="267">
        <f>'прил8 (ведом 24)'!M606</f>
        <v>1519</v>
      </c>
    </row>
    <row r="179" spans="1:8" s="444" customFormat="1" ht="18" x14ac:dyDescent="0.35">
      <c r="A179" s="434"/>
      <c r="B179" s="607" t="s">
        <v>55</v>
      </c>
      <c r="C179" s="258" t="s">
        <v>61</v>
      </c>
      <c r="D179" s="259" t="s">
        <v>44</v>
      </c>
      <c r="E179" s="259" t="s">
        <v>50</v>
      </c>
      <c r="F179" s="260" t="s">
        <v>89</v>
      </c>
      <c r="G179" s="73" t="s">
        <v>56</v>
      </c>
      <c r="H179" s="267">
        <f>'прил8 (ведом 24)'!M607</f>
        <v>50</v>
      </c>
    </row>
    <row r="180" spans="1:8" s="444" customFormat="1" ht="18" x14ac:dyDescent="0.35">
      <c r="A180" s="434"/>
      <c r="B180" s="616" t="s">
        <v>485</v>
      </c>
      <c r="C180" s="799" t="s">
        <v>61</v>
      </c>
      <c r="D180" s="800" t="s">
        <v>44</v>
      </c>
      <c r="E180" s="800" t="s">
        <v>50</v>
      </c>
      <c r="F180" s="801" t="s">
        <v>402</v>
      </c>
      <c r="G180" s="55"/>
      <c r="H180" s="267">
        <f>H181</f>
        <v>55.300000000000011</v>
      </c>
    </row>
    <row r="181" spans="1:8" s="444" customFormat="1" ht="36" x14ac:dyDescent="0.35">
      <c r="A181" s="434"/>
      <c r="B181" s="610" t="s">
        <v>53</v>
      </c>
      <c r="C181" s="799" t="s">
        <v>61</v>
      </c>
      <c r="D181" s="800" t="s">
        <v>44</v>
      </c>
      <c r="E181" s="800" t="s">
        <v>50</v>
      </c>
      <c r="F181" s="801" t="s">
        <v>402</v>
      </c>
      <c r="G181" s="55" t="s">
        <v>54</v>
      </c>
      <c r="H181" s="267">
        <f>'прил8 (ведом 24)'!M609</f>
        <v>55.300000000000011</v>
      </c>
    </row>
    <row r="182" spans="1:8" s="444" customFormat="1" ht="36" x14ac:dyDescent="0.35">
      <c r="A182" s="434"/>
      <c r="B182" s="615" t="s">
        <v>295</v>
      </c>
      <c r="C182" s="258" t="s">
        <v>61</v>
      </c>
      <c r="D182" s="259" t="s">
        <v>44</v>
      </c>
      <c r="E182" s="259" t="s">
        <v>63</v>
      </c>
      <c r="F182" s="260" t="s">
        <v>43</v>
      </c>
      <c r="G182" s="73"/>
      <c r="H182" s="267">
        <f>H183</f>
        <v>312.60000000000002</v>
      </c>
    </row>
    <row r="183" spans="1:8" s="444" customFormat="1" ht="36" x14ac:dyDescent="0.35">
      <c r="A183" s="434"/>
      <c r="B183" s="615" t="s">
        <v>490</v>
      </c>
      <c r="C183" s="258" t="s">
        <v>61</v>
      </c>
      <c r="D183" s="259" t="s">
        <v>44</v>
      </c>
      <c r="E183" s="259" t="s">
        <v>63</v>
      </c>
      <c r="F183" s="260" t="s">
        <v>489</v>
      </c>
      <c r="G183" s="73"/>
      <c r="H183" s="267">
        <f>H184</f>
        <v>312.60000000000002</v>
      </c>
    </row>
    <row r="184" spans="1:8" s="444" customFormat="1" ht="36" x14ac:dyDescent="0.35">
      <c r="A184" s="434"/>
      <c r="B184" s="615" t="s">
        <v>74</v>
      </c>
      <c r="C184" s="258" t="s">
        <v>61</v>
      </c>
      <c r="D184" s="259" t="s">
        <v>44</v>
      </c>
      <c r="E184" s="259" t="s">
        <v>63</v>
      </c>
      <c r="F184" s="260" t="s">
        <v>489</v>
      </c>
      <c r="G184" s="73" t="s">
        <v>75</v>
      </c>
      <c r="H184" s="267">
        <f>'прил8 (ведом 24)'!M587</f>
        <v>312.60000000000002</v>
      </c>
    </row>
    <row r="185" spans="1:8" ht="36" x14ac:dyDescent="0.35">
      <c r="A185" s="434"/>
      <c r="B185" s="606" t="s">
        <v>346</v>
      </c>
      <c r="C185" s="452" t="s">
        <v>61</v>
      </c>
      <c r="D185" s="453" t="s">
        <v>87</v>
      </c>
      <c r="E185" s="453" t="s">
        <v>42</v>
      </c>
      <c r="F185" s="260" t="s">
        <v>43</v>
      </c>
      <c r="G185" s="455"/>
      <c r="H185" s="267">
        <f>H186</f>
        <v>4156.7999999999993</v>
      </c>
    </row>
    <row r="186" spans="1:8" ht="90" x14ac:dyDescent="0.35">
      <c r="A186" s="434"/>
      <c r="B186" s="609" t="s">
        <v>340</v>
      </c>
      <c r="C186" s="452" t="s">
        <v>61</v>
      </c>
      <c r="D186" s="453" t="s">
        <v>87</v>
      </c>
      <c r="E186" s="453" t="s">
        <v>61</v>
      </c>
      <c r="F186" s="260" t="s">
        <v>43</v>
      </c>
      <c r="G186" s="455"/>
      <c r="H186" s="267">
        <f>H187+H190</f>
        <v>4156.7999999999993</v>
      </c>
    </row>
    <row r="187" spans="1:8" ht="36" x14ac:dyDescent="0.35">
      <c r="A187" s="434"/>
      <c r="B187" s="609" t="s">
        <v>335</v>
      </c>
      <c r="C187" s="452" t="s">
        <v>61</v>
      </c>
      <c r="D187" s="453" t="s">
        <v>87</v>
      </c>
      <c r="E187" s="453" t="s">
        <v>61</v>
      </c>
      <c r="F187" s="454" t="s">
        <v>336</v>
      </c>
      <c r="G187" s="297"/>
      <c r="H187" s="267">
        <f>SUM(H188:H189)</f>
        <v>4112.3999999999996</v>
      </c>
    </row>
    <row r="188" spans="1:8" ht="36" x14ac:dyDescent="0.35">
      <c r="A188" s="434"/>
      <c r="B188" s="606" t="s">
        <v>53</v>
      </c>
      <c r="C188" s="258" t="s">
        <v>61</v>
      </c>
      <c r="D188" s="259" t="s">
        <v>87</v>
      </c>
      <c r="E188" s="259" t="s">
        <v>61</v>
      </c>
      <c r="F188" s="260" t="s">
        <v>336</v>
      </c>
      <c r="G188" s="297" t="s">
        <v>54</v>
      </c>
      <c r="H188" s="267">
        <f>'прил8 (ведом 24)'!M622+'прил8 (ведом 24)'!M613</f>
        <v>4096.8999999999996</v>
      </c>
    </row>
    <row r="189" spans="1:8" ht="36" x14ac:dyDescent="0.35">
      <c r="A189" s="434"/>
      <c r="B189" s="609" t="s">
        <v>74</v>
      </c>
      <c r="C189" s="258" t="s">
        <v>61</v>
      </c>
      <c r="D189" s="259" t="s">
        <v>87</v>
      </c>
      <c r="E189" s="259" t="s">
        <v>61</v>
      </c>
      <c r="F189" s="260" t="s">
        <v>336</v>
      </c>
      <c r="G189" s="73" t="s">
        <v>75</v>
      </c>
      <c r="H189" s="267">
        <f>'прил8 (ведом 24)'!M614</f>
        <v>15.5</v>
      </c>
    </row>
    <row r="190" spans="1:8" ht="252" x14ac:dyDescent="0.35">
      <c r="A190" s="434"/>
      <c r="B190" s="615" t="s">
        <v>654</v>
      </c>
      <c r="C190" s="258" t="s">
        <v>61</v>
      </c>
      <c r="D190" s="259" t="s">
        <v>87</v>
      </c>
      <c r="E190" s="259" t="s">
        <v>61</v>
      </c>
      <c r="F190" s="260" t="s">
        <v>433</v>
      </c>
      <c r="G190" s="73"/>
      <c r="H190" s="267">
        <f>H191</f>
        <v>44.4</v>
      </c>
    </row>
    <row r="191" spans="1:8" ht="36" x14ac:dyDescent="0.35">
      <c r="A191" s="434"/>
      <c r="B191" s="615" t="s">
        <v>74</v>
      </c>
      <c r="C191" s="258" t="s">
        <v>61</v>
      </c>
      <c r="D191" s="259" t="s">
        <v>87</v>
      </c>
      <c r="E191" s="259" t="s">
        <v>61</v>
      </c>
      <c r="F191" s="260" t="s">
        <v>433</v>
      </c>
      <c r="G191" s="73" t="s">
        <v>75</v>
      </c>
      <c r="H191" s="267">
        <f>'прил8 (ведом 24)'!M616</f>
        <v>44.4</v>
      </c>
    </row>
    <row r="192" spans="1:8" s="444" customFormat="1" ht="36" x14ac:dyDescent="0.35">
      <c r="A192" s="434"/>
      <c r="B192" s="606" t="s">
        <v>213</v>
      </c>
      <c r="C192" s="258" t="s">
        <v>61</v>
      </c>
      <c r="D192" s="259" t="s">
        <v>29</v>
      </c>
      <c r="E192" s="259" t="s">
        <v>42</v>
      </c>
      <c r="F192" s="260" t="s">
        <v>43</v>
      </c>
      <c r="G192" s="297"/>
      <c r="H192" s="267">
        <f>H193+H204</f>
        <v>13665.899999999998</v>
      </c>
    </row>
    <row r="193" spans="1:8" s="444" customFormat="1" ht="36" x14ac:dyDescent="0.35">
      <c r="A193" s="434"/>
      <c r="B193" s="606" t="s">
        <v>296</v>
      </c>
      <c r="C193" s="258" t="s">
        <v>61</v>
      </c>
      <c r="D193" s="259" t="s">
        <v>29</v>
      </c>
      <c r="E193" s="259" t="s">
        <v>36</v>
      </c>
      <c r="F193" s="260" t="s">
        <v>43</v>
      </c>
      <c r="G193" s="73"/>
      <c r="H193" s="267">
        <f>H194+H198+H202</f>
        <v>13609.599999999999</v>
      </c>
    </row>
    <row r="194" spans="1:8" ht="36" x14ac:dyDescent="0.35">
      <c r="A194" s="434"/>
      <c r="B194" s="606" t="s">
        <v>46</v>
      </c>
      <c r="C194" s="258" t="s">
        <v>61</v>
      </c>
      <c r="D194" s="259" t="s">
        <v>29</v>
      </c>
      <c r="E194" s="259" t="s">
        <v>36</v>
      </c>
      <c r="F194" s="260" t="s">
        <v>47</v>
      </c>
      <c r="G194" s="455"/>
      <c r="H194" s="267">
        <f>SUM(H195:H197)</f>
        <v>3570.7</v>
      </c>
    </row>
    <row r="195" spans="1:8" ht="90" x14ac:dyDescent="0.35">
      <c r="A195" s="434"/>
      <c r="B195" s="606" t="s">
        <v>48</v>
      </c>
      <c r="C195" s="258" t="s">
        <v>61</v>
      </c>
      <c r="D195" s="259" t="s">
        <v>29</v>
      </c>
      <c r="E195" s="259" t="s">
        <v>36</v>
      </c>
      <c r="F195" s="260" t="s">
        <v>47</v>
      </c>
      <c r="G195" s="455" t="s">
        <v>49</v>
      </c>
      <c r="H195" s="267">
        <f>'прил8 (ведом 24)'!M626</f>
        <v>3301</v>
      </c>
    </row>
    <row r="196" spans="1:8" ht="36" x14ac:dyDescent="0.35">
      <c r="A196" s="434"/>
      <c r="B196" s="606" t="s">
        <v>53</v>
      </c>
      <c r="C196" s="258" t="s">
        <v>61</v>
      </c>
      <c r="D196" s="259" t="s">
        <v>29</v>
      </c>
      <c r="E196" s="259" t="s">
        <v>36</v>
      </c>
      <c r="F196" s="260" t="s">
        <v>47</v>
      </c>
      <c r="G196" s="455" t="s">
        <v>54</v>
      </c>
      <c r="H196" s="267">
        <f>'прил8 (ведом 24)'!M627</f>
        <v>261.2</v>
      </c>
    </row>
    <row r="197" spans="1:8" ht="18" x14ac:dyDescent="0.35">
      <c r="A197" s="434"/>
      <c r="B197" s="606" t="s">
        <v>55</v>
      </c>
      <c r="C197" s="258" t="s">
        <v>61</v>
      </c>
      <c r="D197" s="259" t="s">
        <v>29</v>
      </c>
      <c r="E197" s="259" t="s">
        <v>36</v>
      </c>
      <c r="F197" s="260" t="s">
        <v>47</v>
      </c>
      <c r="G197" s="73" t="s">
        <v>56</v>
      </c>
      <c r="H197" s="267">
        <f>'прил8 (ведом 24)'!M628</f>
        <v>8.5</v>
      </c>
    </row>
    <row r="198" spans="1:8" ht="36" x14ac:dyDescent="0.35">
      <c r="A198" s="434"/>
      <c r="B198" s="606" t="s">
        <v>484</v>
      </c>
      <c r="C198" s="258" t="s">
        <v>61</v>
      </c>
      <c r="D198" s="259" t="s">
        <v>29</v>
      </c>
      <c r="E198" s="259" t="s">
        <v>36</v>
      </c>
      <c r="F198" s="260" t="s">
        <v>89</v>
      </c>
      <c r="G198" s="73"/>
      <c r="H198" s="267">
        <f>SUM(H199:H201)</f>
        <v>10019.199999999999</v>
      </c>
    </row>
    <row r="199" spans="1:8" ht="90" x14ac:dyDescent="0.35">
      <c r="A199" s="434"/>
      <c r="B199" s="606" t="s">
        <v>48</v>
      </c>
      <c r="C199" s="258" t="s">
        <v>61</v>
      </c>
      <c r="D199" s="259" t="s">
        <v>29</v>
      </c>
      <c r="E199" s="259" t="s">
        <v>36</v>
      </c>
      <c r="F199" s="260" t="s">
        <v>89</v>
      </c>
      <c r="G199" s="455" t="s">
        <v>49</v>
      </c>
      <c r="H199" s="267">
        <f>'прил8 (ведом 24)'!M630</f>
        <v>8090.5999999999995</v>
      </c>
    </row>
    <row r="200" spans="1:8" ht="36" x14ac:dyDescent="0.35">
      <c r="A200" s="434"/>
      <c r="B200" s="606" t="s">
        <v>53</v>
      </c>
      <c r="C200" s="258" t="s">
        <v>61</v>
      </c>
      <c r="D200" s="259" t="s">
        <v>29</v>
      </c>
      <c r="E200" s="259" t="s">
        <v>36</v>
      </c>
      <c r="F200" s="260" t="s">
        <v>89</v>
      </c>
      <c r="G200" s="455" t="s">
        <v>54</v>
      </c>
      <c r="H200" s="267">
        <f>'прил8 (ведом 24)'!M631</f>
        <v>1927</v>
      </c>
    </row>
    <row r="201" spans="1:8" ht="18" x14ac:dyDescent="0.35">
      <c r="A201" s="434"/>
      <c r="B201" s="606" t="s">
        <v>55</v>
      </c>
      <c r="C201" s="258" t="s">
        <v>61</v>
      </c>
      <c r="D201" s="259" t="s">
        <v>29</v>
      </c>
      <c r="E201" s="259" t="s">
        <v>36</v>
      </c>
      <c r="F201" s="260" t="s">
        <v>89</v>
      </c>
      <c r="G201" s="73" t="s">
        <v>56</v>
      </c>
      <c r="H201" s="267">
        <f>'прил8 (ведом 24)'!M632</f>
        <v>1.6</v>
      </c>
    </row>
    <row r="202" spans="1:8" ht="54" x14ac:dyDescent="0.35">
      <c r="A202" s="434"/>
      <c r="B202" s="610" t="s">
        <v>401</v>
      </c>
      <c r="C202" s="258" t="s">
        <v>61</v>
      </c>
      <c r="D202" s="259" t="s">
        <v>29</v>
      </c>
      <c r="E202" s="259" t="s">
        <v>36</v>
      </c>
      <c r="F202" s="260" t="s">
        <v>400</v>
      </c>
      <c r="G202" s="73"/>
      <c r="H202" s="267">
        <f>H203</f>
        <v>19.7</v>
      </c>
    </row>
    <row r="203" spans="1:8" ht="36" x14ac:dyDescent="0.35">
      <c r="A203" s="434"/>
      <c r="B203" s="610" t="s">
        <v>53</v>
      </c>
      <c r="C203" s="258" t="s">
        <v>61</v>
      </c>
      <c r="D203" s="259" t="s">
        <v>29</v>
      </c>
      <c r="E203" s="259" t="s">
        <v>36</v>
      </c>
      <c r="F203" s="260" t="s">
        <v>400</v>
      </c>
      <c r="G203" s="73" t="s">
        <v>54</v>
      </c>
      <c r="H203" s="267">
        <f>'прил8 (ведом 24)'!M560</f>
        <v>19.7</v>
      </c>
    </row>
    <row r="204" spans="1:8" ht="36" x14ac:dyDescent="0.35">
      <c r="A204" s="434"/>
      <c r="B204" s="607" t="s">
        <v>371</v>
      </c>
      <c r="C204" s="258" t="s">
        <v>61</v>
      </c>
      <c r="D204" s="259" t="s">
        <v>29</v>
      </c>
      <c r="E204" s="259" t="s">
        <v>38</v>
      </c>
      <c r="F204" s="260" t="s">
        <v>43</v>
      </c>
      <c r="G204" s="200"/>
      <c r="H204" s="267">
        <f>H205</f>
        <v>56.3</v>
      </c>
    </row>
    <row r="205" spans="1:8" ht="54" x14ac:dyDescent="0.35">
      <c r="A205" s="434"/>
      <c r="B205" s="607" t="s">
        <v>372</v>
      </c>
      <c r="C205" s="258" t="s">
        <v>61</v>
      </c>
      <c r="D205" s="259" t="s">
        <v>29</v>
      </c>
      <c r="E205" s="259" t="s">
        <v>38</v>
      </c>
      <c r="F205" s="260" t="s">
        <v>103</v>
      </c>
      <c r="G205" s="200"/>
      <c r="H205" s="267">
        <f>H206</f>
        <v>56.3</v>
      </c>
    </row>
    <row r="206" spans="1:8" ht="36" x14ac:dyDescent="0.35">
      <c r="A206" s="434"/>
      <c r="B206" s="607" t="s">
        <v>53</v>
      </c>
      <c r="C206" s="258" t="s">
        <v>61</v>
      </c>
      <c r="D206" s="259" t="s">
        <v>29</v>
      </c>
      <c r="E206" s="259" t="s">
        <v>38</v>
      </c>
      <c r="F206" s="260" t="s">
        <v>103</v>
      </c>
      <c r="G206" s="73" t="s">
        <v>54</v>
      </c>
      <c r="H206" s="267">
        <f>'прил8 (ведом 24)'!M563</f>
        <v>56.3</v>
      </c>
    </row>
    <row r="207" spans="1:8" ht="18" x14ac:dyDescent="0.35">
      <c r="A207" s="434"/>
      <c r="B207" s="613"/>
      <c r="C207" s="456"/>
      <c r="D207" s="456"/>
      <c r="E207" s="371"/>
      <c r="F207" s="457"/>
      <c r="G207" s="297"/>
      <c r="H207" s="267"/>
    </row>
    <row r="208" spans="1:8" s="444" customFormat="1" ht="52.2" x14ac:dyDescent="0.3">
      <c r="A208" s="449">
        <v>3</v>
      </c>
      <c r="B208" s="618" t="s">
        <v>214</v>
      </c>
      <c r="C208" s="450" t="s">
        <v>50</v>
      </c>
      <c r="D208" s="450" t="s">
        <v>41</v>
      </c>
      <c r="E208" s="450" t="s">
        <v>42</v>
      </c>
      <c r="F208" s="451" t="s">
        <v>43</v>
      </c>
      <c r="G208" s="443"/>
      <c r="H208" s="310">
        <f>H209+H216+H245</f>
        <v>118570</v>
      </c>
    </row>
    <row r="209" spans="1:8" ht="18" x14ac:dyDescent="0.35">
      <c r="A209" s="434"/>
      <c r="B209" s="614" t="s">
        <v>215</v>
      </c>
      <c r="C209" s="258" t="s">
        <v>50</v>
      </c>
      <c r="D209" s="259" t="s">
        <v>44</v>
      </c>
      <c r="E209" s="259" t="s">
        <v>42</v>
      </c>
      <c r="F209" s="260" t="s">
        <v>43</v>
      </c>
      <c r="G209" s="297"/>
      <c r="H209" s="267">
        <f>H210+H213</f>
        <v>1306.5999999999999</v>
      </c>
    </row>
    <row r="210" spans="1:8" ht="18" x14ac:dyDescent="0.35">
      <c r="A210" s="434"/>
      <c r="B210" s="606" t="s">
        <v>291</v>
      </c>
      <c r="C210" s="258" t="s">
        <v>50</v>
      </c>
      <c r="D210" s="259" t="s">
        <v>44</v>
      </c>
      <c r="E210" s="259" t="s">
        <v>36</v>
      </c>
      <c r="F210" s="260" t="s">
        <v>43</v>
      </c>
      <c r="G210" s="297"/>
      <c r="H210" s="267">
        <f>H211</f>
        <v>396</v>
      </c>
    </row>
    <row r="211" spans="1:8" ht="36" x14ac:dyDescent="0.35">
      <c r="A211" s="434"/>
      <c r="B211" s="606" t="s">
        <v>292</v>
      </c>
      <c r="C211" s="258" t="s">
        <v>50</v>
      </c>
      <c r="D211" s="259" t="s">
        <v>44</v>
      </c>
      <c r="E211" s="259" t="s">
        <v>36</v>
      </c>
      <c r="F211" s="260" t="s">
        <v>293</v>
      </c>
      <c r="G211" s="73"/>
      <c r="H211" s="267">
        <f>H212</f>
        <v>396</v>
      </c>
    </row>
    <row r="212" spans="1:8" ht="18" x14ac:dyDescent="0.35">
      <c r="A212" s="434"/>
      <c r="B212" s="606" t="s">
        <v>118</v>
      </c>
      <c r="C212" s="258" t="s">
        <v>50</v>
      </c>
      <c r="D212" s="259" t="s">
        <v>44</v>
      </c>
      <c r="E212" s="259" t="s">
        <v>36</v>
      </c>
      <c r="F212" s="260" t="s">
        <v>293</v>
      </c>
      <c r="G212" s="73" t="s">
        <v>119</v>
      </c>
      <c r="H212" s="267">
        <f>'прил8 (ведом 24)'!M670</f>
        <v>396</v>
      </c>
    </row>
    <row r="213" spans="1:8" ht="54" x14ac:dyDescent="0.35">
      <c r="A213" s="434"/>
      <c r="B213" s="606" t="s">
        <v>305</v>
      </c>
      <c r="C213" s="258" t="s">
        <v>50</v>
      </c>
      <c r="D213" s="259" t="s">
        <v>44</v>
      </c>
      <c r="E213" s="259" t="s">
        <v>38</v>
      </c>
      <c r="F213" s="260" t="s">
        <v>43</v>
      </c>
      <c r="G213" s="73"/>
      <c r="H213" s="267">
        <f>H214</f>
        <v>910.6</v>
      </c>
    </row>
    <row r="214" spans="1:8" ht="36" x14ac:dyDescent="0.35">
      <c r="A214" s="434"/>
      <c r="B214" s="606" t="s">
        <v>216</v>
      </c>
      <c r="C214" s="258" t="s">
        <v>50</v>
      </c>
      <c r="D214" s="259" t="s">
        <v>44</v>
      </c>
      <c r="E214" s="259" t="s">
        <v>38</v>
      </c>
      <c r="F214" s="260" t="s">
        <v>306</v>
      </c>
      <c r="G214" s="73"/>
      <c r="H214" s="267">
        <f>SUM(H215:H215)</f>
        <v>910.6</v>
      </c>
    </row>
    <row r="215" spans="1:8" ht="36" x14ac:dyDescent="0.35">
      <c r="A215" s="434"/>
      <c r="B215" s="606" t="s">
        <v>53</v>
      </c>
      <c r="C215" s="258" t="s">
        <v>50</v>
      </c>
      <c r="D215" s="259" t="s">
        <v>44</v>
      </c>
      <c r="E215" s="259" t="s">
        <v>38</v>
      </c>
      <c r="F215" s="260" t="s">
        <v>306</v>
      </c>
      <c r="G215" s="73" t="s">
        <v>54</v>
      </c>
      <c r="H215" s="267">
        <f>'прил8 (ведом 24)'!M658</f>
        <v>910.6</v>
      </c>
    </row>
    <row r="216" spans="1:8" ht="18" x14ac:dyDescent="0.35">
      <c r="A216" s="434"/>
      <c r="B216" s="606" t="s">
        <v>217</v>
      </c>
      <c r="C216" s="258" t="s">
        <v>50</v>
      </c>
      <c r="D216" s="259" t="s">
        <v>87</v>
      </c>
      <c r="E216" s="259" t="s">
        <v>42</v>
      </c>
      <c r="F216" s="260" t="s">
        <v>43</v>
      </c>
      <c r="G216" s="297"/>
      <c r="H216" s="267">
        <f>H217+H222+H235+H238</f>
        <v>89818.2</v>
      </c>
    </row>
    <row r="217" spans="1:8" ht="36" x14ac:dyDescent="0.35">
      <c r="A217" s="434"/>
      <c r="B217" s="606" t="s">
        <v>296</v>
      </c>
      <c r="C217" s="258" t="s">
        <v>50</v>
      </c>
      <c r="D217" s="259" t="s">
        <v>87</v>
      </c>
      <c r="E217" s="259" t="s">
        <v>36</v>
      </c>
      <c r="F217" s="260" t="s">
        <v>43</v>
      </c>
      <c r="G217" s="73"/>
      <c r="H217" s="267">
        <f>H218</f>
        <v>3088.7000000000003</v>
      </c>
    </row>
    <row r="218" spans="1:8" ht="36" x14ac:dyDescent="0.35">
      <c r="A218" s="434"/>
      <c r="B218" s="606" t="s">
        <v>46</v>
      </c>
      <c r="C218" s="258" t="s">
        <v>50</v>
      </c>
      <c r="D218" s="259" t="s">
        <v>87</v>
      </c>
      <c r="E218" s="259" t="s">
        <v>36</v>
      </c>
      <c r="F218" s="260" t="s">
        <v>47</v>
      </c>
      <c r="G218" s="73"/>
      <c r="H218" s="267">
        <f>SUM(H219:H221)</f>
        <v>3088.7000000000003</v>
      </c>
    </row>
    <row r="219" spans="1:8" ht="90" x14ac:dyDescent="0.35">
      <c r="A219" s="434"/>
      <c r="B219" s="606" t="s">
        <v>48</v>
      </c>
      <c r="C219" s="258" t="s">
        <v>50</v>
      </c>
      <c r="D219" s="259" t="s">
        <v>87</v>
      </c>
      <c r="E219" s="259" t="s">
        <v>36</v>
      </c>
      <c r="F219" s="260" t="s">
        <v>47</v>
      </c>
      <c r="G219" s="73" t="s">
        <v>49</v>
      </c>
      <c r="H219" s="267">
        <f>'прил8 (ведом 24)'!M688</f>
        <v>3027.5</v>
      </c>
    </row>
    <row r="220" spans="1:8" ht="36" x14ac:dyDescent="0.35">
      <c r="A220" s="434"/>
      <c r="B220" s="606" t="s">
        <v>53</v>
      </c>
      <c r="C220" s="258" t="s">
        <v>50</v>
      </c>
      <c r="D220" s="259" t="s">
        <v>87</v>
      </c>
      <c r="E220" s="259" t="s">
        <v>36</v>
      </c>
      <c r="F220" s="260" t="s">
        <v>47</v>
      </c>
      <c r="G220" s="73" t="s">
        <v>54</v>
      </c>
      <c r="H220" s="267">
        <f>'прил8 (ведом 24)'!M689</f>
        <v>59.4</v>
      </c>
    </row>
    <row r="221" spans="1:8" ht="18" x14ac:dyDescent="0.35">
      <c r="A221" s="434"/>
      <c r="B221" s="606" t="s">
        <v>55</v>
      </c>
      <c r="C221" s="258" t="s">
        <v>50</v>
      </c>
      <c r="D221" s="259" t="s">
        <v>87</v>
      </c>
      <c r="E221" s="259" t="s">
        <v>36</v>
      </c>
      <c r="F221" s="260" t="s">
        <v>47</v>
      </c>
      <c r="G221" s="73" t="s">
        <v>56</v>
      </c>
      <c r="H221" s="267">
        <f>'прил8 (ведом 24)'!M690</f>
        <v>1.8</v>
      </c>
    </row>
    <row r="222" spans="1:8" ht="18" x14ac:dyDescent="0.35">
      <c r="A222" s="434"/>
      <c r="B222" s="606" t="s">
        <v>381</v>
      </c>
      <c r="C222" s="258" t="s">
        <v>50</v>
      </c>
      <c r="D222" s="259" t="s">
        <v>87</v>
      </c>
      <c r="E222" s="259" t="s">
        <v>38</v>
      </c>
      <c r="F222" s="260" t="s">
        <v>43</v>
      </c>
      <c r="G222" s="73"/>
      <c r="H222" s="267">
        <f>H223+H233+H227+H229+H231</f>
        <v>81922.600000000006</v>
      </c>
    </row>
    <row r="223" spans="1:8" ht="36" x14ac:dyDescent="0.35">
      <c r="A223" s="434"/>
      <c r="B223" s="606" t="s">
        <v>484</v>
      </c>
      <c r="C223" s="258" t="s">
        <v>50</v>
      </c>
      <c r="D223" s="259" t="s">
        <v>87</v>
      </c>
      <c r="E223" s="259" t="s">
        <v>38</v>
      </c>
      <c r="F223" s="260" t="s">
        <v>89</v>
      </c>
      <c r="G223" s="73"/>
      <c r="H223" s="267">
        <f>SUM(H224:H226)</f>
        <v>41892.299999999996</v>
      </c>
    </row>
    <row r="224" spans="1:8" ht="90" x14ac:dyDescent="0.35">
      <c r="A224" s="434"/>
      <c r="B224" s="606" t="s">
        <v>48</v>
      </c>
      <c r="C224" s="258" t="s">
        <v>50</v>
      </c>
      <c r="D224" s="259" t="s">
        <v>87</v>
      </c>
      <c r="E224" s="259" t="s">
        <v>38</v>
      </c>
      <c r="F224" s="260" t="s">
        <v>89</v>
      </c>
      <c r="G224" s="73" t="s">
        <v>49</v>
      </c>
      <c r="H224" s="267">
        <f>'прил8 (ведом 24)'!M674</f>
        <v>27201.899999999998</v>
      </c>
    </row>
    <row r="225" spans="1:8" ht="36" x14ac:dyDescent="0.35">
      <c r="A225" s="434"/>
      <c r="B225" s="606" t="s">
        <v>53</v>
      </c>
      <c r="C225" s="258" t="s">
        <v>50</v>
      </c>
      <c r="D225" s="259" t="s">
        <v>87</v>
      </c>
      <c r="E225" s="259" t="s">
        <v>38</v>
      </c>
      <c r="F225" s="260" t="s">
        <v>89</v>
      </c>
      <c r="G225" s="73" t="s">
        <v>54</v>
      </c>
      <c r="H225" s="267">
        <f>'прил8 (ведом 24)'!M675</f>
        <v>12934.3</v>
      </c>
    </row>
    <row r="226" spans="1:8" ht="18" x14ac:dyDescent="0.35">
      <c r="A226" s="434"/>
      <c r="B226" s="606" t="s">
        <v>55</v>
      </c>
      <c r="C226" s="258" t="s">
        <v>50</v>
      </c>
      <c r="D226" s="259" t="s">
        <v>87</v>
      </c>
      <c r="E226" s="259" t="s">
        <v>38</v>
      </c>
      <c r="F226" s="260" t="s">
        <v>89</v>
      </c>
      <c r="G226" s="73" t="s">
        <v>56</v>
      </c>
      <c r="H226" s="267">
        <f>'прил8 (ведом 24)'!M676</f>
        <v>1756.1</v>
      </c>
    </row>
    <row r="227" spans="1:8" ht="50.25" customHeight="1" x14ac:dyDescent="0.35">
      <c r="A227" s="434"/>
      <c r="B227" s="607" t="s">
        <v>216</v>
      </c>
      <c r="C227" s="258" t="s">
        <v>50</v>
      </c>
      <c r="D227" s="259" t="s">
        <v>87</v>
      </c>
      <c r="E227" s="259" t="s">
        <v>38</v>
      </c>
      <c r="F227" s="260" t="s">
        <v>306</v>
      </c>
      <c r="G227" s="73"/>
      <c r="H227" s="267">
        <f>H228</f>
        <v>7579.6</v>
      </c>
    </row>
    <row r="228" spans="1:8" ht="36" x14ac:dyDescent="0.35">
      <c r="A228" s="434"/>
      <c r="B228" s="607" t="s">
        <v>53</v>
      </c>
      <c r="C228" s="258" t="s">
        <v>50</v>
      </c>
      <c r="D228" s="259" t="s">
        <v>87</v>
      </c>
      <c r="E228" s="259" t="s">
        <v>38</v>
      </c>
      <c r="F228" s="260" t="s">
        <v>306</v>
      </c>
      <c r="G228" s="73" t="s">
        <v>54</v>
      </c>
      <c r="H228" s="267">
        <f>'прил8 (ведом 24)'!M678+'прил8 (ведом 24)'!M662</f>
        <v>7579.6</v>
      </c>
    </row>
    <row r="229" spans="1:8" ht="180" x14ac:dyDescent="0.35">
      <c r="A229" s="434"/>
      <c r="B229" s="607" t="s">
        <v>455</v>
      </c>
      <c r="C229" s="258" t="s">
        <v>50</v>
      </c>
      <c r="D229" s="259" t="s">
        <v>87</v>
      </c>
      <c r="E229" s="259" t="s">
        <v>38</v>
      </c>
      <c r="F229" s="260" t="s">
        <v>411</v>
      </c>
      <c r="G229" s="73"/>
      <c r="H229" s="267">
        <f>H230</f>
        <v>93.8</v>
      </c>
    </row>
    <row r="230" spans="1:8" ht="90" x14ac:dyDescent="0.35">
      <c r="A230" s="434"/>
      <c r="B230" s="607" t="s">
        <v>48</v>
      </c>
      <c r="C230" s="258" t="s">
        <v>50</v>
      </c>
      <c r="D230" s="259" t="s">
        <v>87</v>
      </c>
      <c r="E230" s="259" t="s">
        <v>38</v>
      </c>
      <c r="F230" s="260" t="s">
        <v>411</v>
      </c>
      <c r="G230" s="73" t="s">
        <v>49</v>
      </c>
      <c r="H230" s="267">
        <f>'прил8 (ведом 24)'!M680</f>
        <v>93.8</v>
      </c>
    </row>
    <row r="231" spans="1:8" ht="72" x14ac:dyDescent="0.35">
      <c r="A231" s="434"/>
      <c r="B231" s="610" t="s">
        <v>618</v>
      </c>
      <c r="C231" s="799" t="s">
        <v>50</v>
      </c>
      <c r="D231" s="800" t="s">
        <v>87</v>
      </c>
      <c r="E231" s="800" t="s">
        <v>38</v>
      </c>
      <c r="F231" s="801" t="s">
        <v>617</v>
      </c>
      <c r="G231" s="55"/>
      <c r="H231" s="267">
        <f>H232</f>
        <v>29851.5</v>
      </c>
    </row>
    <row r="232" spans="1:8" ht="36" x14ac:dyDescent="0.35">
      <c r="A232" s="434"/>
      <c r="B232" s="610" t="s">
        <v>53</v>
      </c>
      <c r="C232" s="799" t="s">
        <v>50</v>
      </c>
      <c r="D232" s="800" t="s">
        <v>87</v>
      </c>
      <c r="E232" s="800" t="s">
        <v>38</v>
      </c>
      <c r="F232" s="801" t="s">
        <v>617</v>
      </c>
      <c r="G232" s="55" t="s">
        <v>54</v>
      </c>
      <c r="H232" s="267">
        <f>'прил8 (ведом 24)'!M664</f>
        <v>29851.5</v>
      </c>
    </row>
    <row r="233" spans="1:8" ht="54" x14ac:dyDescent="0.35">
      <c r="A233" s="434"/>
      <c r="B233" s="607" t="s">
        <v>459</v>
      </c>
      <c r="C233" s="258" t="s">
        <v>50</v>
      </c>
      <c r="D233" s="259" t="s">
        <v>87</v>
      </c>
      <c r="E233" s="259" t="s">
        <v>38</v>
      </c>
      <c r="F233" s="260" t="s">
        <v>431</v>
      </c>
      <c r="G233" s="73"/>
      <c r="H233" s="267">
        <f>H234</f>
        <v>2505.4</v>
      </c>
    </row>
    <row r="234" spans="1:8" ht="90" x14ac:dyDescent="0.35">
      <c r="A234" s="434"/>
      <c r="B234" s="607" t="s">
        <v>48</v>
      </c>
      <c r="C234" s="258" t="s">
        <v>50</v>
      </c>
      <c r="D234" s="259" t="s">
        <v>87</v>
      </c>
      <c r="E234" s="259" t="s">
        <v>38</v>
      </c>
      <c r="F234" s="260" t="s">
        <v>431</v>
      </c>
      <c r="G234" s="73" t="s">
        <v>49</v>
      </c>
      <c r="H234" s="267">
        <f>'прил8 (ведом 24)'!M682</f>
        <v>2505.4</v>
      </c>
    </row>
    <row r="235" spans="1:8" ht="36" x14ac:dyDescent="0.35">
      <c r="A235" s="434"/>
      <c r="B235" s="607" t="s">
        <v>371</v>
      </c>
      <c r="C235" s="258" t="s">
        <v>50</v>
      </c>
      <c r="D235" s="259" t="s">
        <v>87</v>
      </c>
      <c r="E235" s="259" t="s">
        <v>61</v>
      </c>
      <c r="F235" s="260" t="s">
        <v>43</v>
      </c>
      <c r="G235" s="73"/>
      <c r="H235" s="267">
        <f>H236</f>
        <v>51.9</v>
      </c>
    </row>
    <row r="236" spans="1:8" ht="54" x14ac:dyDescent="0.35">
      <c r="A236" s="434"/>
      <c r="B236" s="619" t="s">
        <v>372</v>
      </c>
      <c r="C236" s="258" t="s">
        <v>50</v>
      </c>
      <c r="D236" s="259" t="s">
        <v>87</v>
      </c>
      <c r="E236" s="259" t="s">
        <v>61</v>
      </c>
      <c r="F236" s="260" t="s">
        <v>103</v>
      </c>
      <c r="G236" s="73"/>
      <c r="H236" s="267">
        <f>H237</f>
        <v>51.9</v>
      </c>
    </row>
    <row r="237" spans="1:8" ht="36" x14ac:dyDescent="0.35">
      <c r="A237" s="434"/>
      <c r="B237" s="607" t="s">
        <v>53</v>
      </c>
      <c r="C237" s="258" t="s">
        <v>50</v>
      </c>
      <c r="D237" s="259" t="s">
        <v>87</v>
      </c>
      <c r="E237" s="259" t="s">
        <v>61</v>
      </c>
      <c r="F237" s="260" t="s">
        <v>103</v>
      </c>
      <c r="G237" s="73" t="s">
        <v>54</v>
      </c>
      <c r="H237" s="267">
        <f>'прил8 (ведом 24)'!M641</f>
        <v>51.9</v>
      </c>
    </row>
    <row r="238" spans="1:8" ht="18" x14ac:dyDescent="0.35">
      <c r="A238" s="434"/>
      <c r="B238" s="607" t="s">
        <v>569</v>
      </c>
      <c r="C238" s="258" t="s">
        <v>50</v>
      </c>
      <c r="D238" s="259" t="s">
        <v>87</v>
      </c>
      <c r="E238" s="259" t="s">
        <v>50</v>
      </c>
      <c r="F238" s="260" t="s">
        <v>43</v>
      </c>
      <c r="G238" s="73"/>
      <c r="H238" s="267">
        <f>H239+H243</f>
        <v>4755</v>
      </c>
    </row>
    <row r="239" spans="1:8" ht="36" x14ac:dyDescent="0.35">
      <c r="A239" s="434"/>
      <c r="B239" s="607" t="s">
        <v>484</v>
      </c>
      <c r="C239" s="258" t="s">
        <v>50</v>
      </c>
      <c r="D239" s="259" t="s">
        <v>87</v>
      </c>
      <c r="E239" s="259" t="s">
        <v>50</v>
      </c>
      <c r="F239" s="260" t="s">
        <v>89</v>
      </c>
      <c r="G239" s="73"/>
      <c r="H239" s="267">
        <f>H240+H241+H242</f>
        <v>3753.6000000000004</v>
      </c>
    </row>
    <row r="240" spans="1:8" ht="90" x14ac:dyDescent="0.35">
      <c r="A240" s="434"/>
      <c r="B240" s="607" t="s">
        <v>48</v>
      </c>
      <c r="C240" s="258" t="s">
        <v>50</v>
      </c>
      <c r="D240" s="259" t="s">
        <v>87</v>
      </c>
      <c r="E240" s="259" t="s">
        <v>50</v>
      </c>
      <c r="F240" s="260" t="s">
        <v>89</v>
      </c>
      <c r="G240" s="73" t="s">
        <v>49</v>
      </c>
      <c r="H240" s="267">
        <f>'прил8 (ведом 24)'!M648</f>
        <v>2270.4</v>
      </c>
    </row>
    <row r="241" spans="1:8" ht="36" x14ac:dyDescent="0.35">
      <c r="A241" s="434"/>
      <c r="B241" s="607" t="s">
        <v>53</v>
      </c>
      <c r="C241" s="258" t="s">
        <v>50</v>
      </c>
      <c r="D241" s="259" t="s">
        <v>87</v>
      </c>
      <c r="E241" s="259" t="s">
        <v>50</v>
      </c>
      <c r="F241" s="260" t="s">
        <v>89</v>
      </c>
      <c r="G241" s="73" t="s">
        <v>54</v>
      </c>
      <c r="H241" s="267">
        <f>'прил8 (ведом 24)'!M649</f>
        <v>1463.4</v>
      </c>
    </row>
    <row r="242" spans="1:8" ht="18" x14ac:dyDescent="0.35">
      <c r="A242" s="434"/>
      <c r="B242" s="607" t="s">
        <v>55</v>
      </c>
      <c r="C242" s="258" t="s">
        <v>50</v>
      </c>
      <c r="D242" s="259" t="s">
        <v>87</v>
      </c>
      <c r="E242" s="259" t="s">
        <v>50</v>
      </c>
      <c r="F242" s="260" t="s">
        <v>89</v>
      </c>
      <c r="G242" s="73" t="s">
        <v>56</v>
      </c>
      <c r="H242" s="267">
        <f>'прил8 (ведом 24)'!M650</f>
        <v>19.8</v>
      </c>
    </row>
    <row r="243" spans="1:8" ht="36" x14ac:dyDescent="0.35">
      <c r="A243" s="434"/>
      <c r="B243" s="607" t="s">
        <v>216</v>
      </c>
      <c r="C243" s="258" t="s">
        <v>50</v>
      </c>
      <c r="D243" s="259" t="s">
        <v>87</v>
      </c>
      <c r="E243" s="259" t="s">
        <v>50</v>
      </c>
      <c r="F243" s="260" t="s">
        <v>306</v>
      </c>
      <c r="G243" s="73"/>
      <c r="H243" s="267">
        <f>H244</f>
        <v>1001.4</v>
      </c>
    </row>
    <row r="244" spans="1:8" ht="36" x14ac:dyDescent="0.35">
      <c r="A244" s="434"/>
      <c r="B244" s="607" t="s">
        <v>53</v>
      </c>
      <c r="C244" s="258" t="s">
        <v>50</v>
      </c>
      <c r="D244" s="259" t="s">
        <v>87</v>
      </c>
      <c r="E244" s="259" t="s">
        <v>50</v>
      </c>
      <c r="F244" s="260" t="s">
        <v>306</v>
      </c>
      <c r="G244" s="73" t="s">
        <v>54</v>
      </c>
      <c r="H244" s="267">
        <f>'прил8 (ведом 24)'!M652</f>
        <v>1001.4</v>
      </c>
    </row>
    <row r="245" spans="1:8" ht="18" x14ac:dyDescent="0.35">
      <c r="A245" s="434"/>
      <c r="B245" s="607" t="s">
        <v>359</v>
      </c>
      <c r="C245" s="258" t="s">
        <v>50</v>
      </c>
      <c r="D245" s="259" t="s">
        <v>30</v>
      </c>
      <c r="E245" s="259" t="s">
        <v>42</v>
      </c>
      <c r="F245" s="260" t="s">
        <v>43</v>
      </c>
      <c r="G245" s="73"/>
      <c r="H245" s="267">
        <f>H246</f>
        <v>27445.200000000001</v>
      </c>
    </row>
    <row r="246" spans="1:8" ht="54" x14ac:dyDescent="0.35">
      <c r="A246" s="434"/>
      <c r="B246" s="607" t="s">
        <v>432</v>
      </c>
      <c r="C246" s="258" t="s">
        <v>50</v>
      </c>
      <c r="D246" s="259" t="s">
        <v>30</v>
      </c>
      <c r="E246" s="259" t="s">
        <v>61</v>
      </c>
      <c r="F246" s="260" t="s">
        <v>43</v>
      </c>
      <c r="G246" s="73"/>
      <c r="H246" s="267">
        <f>H247</f>
        <v>27445.200000000001</v>
      </c>
    </row>
    <row r="247" spans="1:8" ht="126" x14ac:dyDescent="0.35">
      <c r="A247" s="434"/>
      <c r="B247" s="607" t="s">
        <v>757</v>
      </c>
      <c r="C247" s="462" t="s">
        <v>50</v>
      </c>
      <c r="D247" s="462" t="s">
        <v>30</v>
      </c>
      <c r="E247" s="462" t="s">
        <v>61</v>
      </c>
      <c r="F247" s="463" t="s">
        <v>513</v>
      </c>
      <c r="G247" s="73"/>
      <c r="H247" s="267">
        <f>H248</f>
        <v>27445.200000000001</v>
      </c>
    </row>
    <row r="248" spans="1:8" ht="36" x14ac:dyDescent="0.35">
      <c r="A248" s="434"/>
      <c r="B248" s="607" t="s">
        <v>201</v>
      </c>
      <c r="C248" s="462" t="s">
        <v>50</v>
      </c>
      <c r="D248" s="462" t="s">
        <v>30</v>
      </c>
      <c r="E248" s="462" t="s">
        <v>61</v>
      </c>
      <c r="F248" s="463" t="s">
        <v>513</v>
      </c>
      <c r="G248" s="73" t="s">
        <v>202</v>
      </c>
      <c r="H248" s="267">
        <f>'прил8 (ведом 24)'!M381</f>
        <v>27445.200000000001</v>
      </c>
    </row>
    <row r="249" spans="1:8" s="444" customFormat="1" ht="52.2" x14ac:dyDescent="0.3">
      <c r="A249" s="449">
        <v>4</v>
      </c>
      <c r="B249" s="605" t="s">
        <v>218</v>
      </c>
      <c r="C249" s="441" t="s">
        <v>63</v>
      </c>
      <c r="D249" s="441" t="s">
        <v>41</v>
      </c>
      <c r="E249" s="441" t="s">
        <v>42</v>
      </c>
      <c r="F249" s="442" t="s">
        <v>43</v>
      </c>
      <c r="G249" s="443"/>
      <c r="H249" s="310">
        <f>H250+H258</f>
        <v>10250.5</v>
      </c>
    </row>
    <row r="250" spans="1:8" s="444" customFormat="1" ht="18" x14ac:dyDescent="0.35">
      <c r="A250" s="434"/>
      <c r="B250" s="606" t="s">
        <v>219</v>
      </c>
      <c r="C250" s="258" t="s">
        <v>63</v>
      </c>
      <c r="D250" s="259" t="s">
        <v>44</v>
      </c>
      <c r="E250" s="259" t="s">
        <v>42</v>
      </c>
      <c r="F250" s="260" t="s">
        <v>43</v>
      </c>
      <c r="G250" s="297"/>
      <c r="H250" s="267">
        <f>H251</f>
        <v>6414.5999999999995</v>
      </c>
    </row>
    <row r="251" spans="1:8" s="444" customFormat="1" ht="72" x14ac:dyDescent="0.35">
      <c r="A251" s="434"/>
      <c r="B251" s="606" t="s">
        <v>301</v>
      </c>
      <c r="C251" s="258" t="s">
        <v>63</v>
      </c>
      <c r="D251" s="259" t="s">
        <v>44</v>
      </c>
      <c r="E251" s="259" t="s">
        <v>36</v>
      </c>
      <c r="F251" s="260" t="s">
        <v>43</v>
      </c>
      <c r="G251" s="73"/>
      <c r="H251" s="267">
        <f>H252+H256</f>
        <v>6414.5999999999995</v>
      </c>
    </row>
    <row r="252" spans="1:8" ht="36" x14ac:dyDescent="0.35">
      <c r="A252" s="434"/>
      <c r="B252" s="606" t="s">
        <v>484</v>
      </c>
      <c r="C252" s="258" t="s">
        <v>63</v>
      </c>
      <c r="D252" s="259" t="s">
        <v>44</v>
      </c>
      <c r="E252" s="259" t="s">
        <v>36</v>
      </c>
      <c r="F252" s="260" t="s">
        <v>89</v>
      </c>
      <c r="G252" s="73"/>
      <c r="H252" s="267">
        <f>H253+H254+H255</f>
        <v>4406.8999999999996</v>
      </c>
    </row>
    <row r="253" spans="1:8" ht="90" x14ac:dyDescent="0.35">
      <c r="A253" s="434"/>
      <c r="B253" s="606" t="s">
        <v>48</v>
      </c>
      <c r="C253" s="258" t="s">
        <v>63</v>
      </c>
      <c r="D253" s="259" t="s">
        <v>44</v>
      </c>
      <c r="E253" s="259" t="s">
        <v>36</v>
      </c>
      <c r="F253" s="260" t="s">
        <v>89</v>
      </c>
      <c r="G253" s="73" t="s">
        <v>49</v>
      </c>
      <c r="H253" s="267">
        <f>'прил8 (ведом 24)'!M715</f>
        <v>4032.7</v>
      </c>
    </row>
    <row r="254" spans="1:8" ht="36" x14ac:dyDescent="0.35">
      <c r="A254" s="434"/>
      <c r="B254" s="606" t="s">
        <v>53</v>
      </c>
      <c r="C254" s="258" t="s">
        <v>63</v>
      </c>
      <c r="D254" s="259" t="s">
        <v>44</v>
      </c>
      <c r="E254" s="259" t="s">
        <v>36</v>
      </c>
      <c r="F254" s="260" t="s">
        <v>89</v>
      </c>
      <c r="G254" s="73" t="s">
        <v>54</v>
      </c>
      <c r="H254" s="267">
        <f>'прил8 (ведом 24)'!M716</f>
        <v>371.5</v>
      </c>
    </row>
    <row r="255" spans="1:8" ht="18" x14ac:dyDescent="0.35">
      <c r="A255" s="434"/>
      <c r="B255" s="607" t="s">
        <v>55</v>
      </c>
      <c r="C255" s="258" t="s">
        <v>63</v>
      </c>
      <c r="D255" s="259" t="s">
        <v>44</v>
      </c>
      <c r="E255" s="259" t="s">
        <v>36</v>
      </c>
      <c r="F255" s="260" t="s">
        <v>89</v>
      </c>
      <c r="G255" s="73" t="s">
        <v>56</v>
      </c>
      <c r="H255" s="267">
        <f>'прил8 (ведом 24)'!M717</f>
        <v>2.7</v>
      </c>
    </row>
    <row r="256" spans="1:8" ht="36" x14ac:dyDescent="0.35">
      <c r="A256" s="434"/>
      <c r="B256" s="606" t="s">
        <v>302</v>
      </c>
      <c r="C256" s="258" t="s">
        <v>63</v>
      </c>
      <c r="D256" s="259" t="s">
        <v>44</v>
      </c>
      <c r="E256" s="259" t="s">
        <v>36</v>
      </c>
      <c r="F256" s="260" t="s">
        <v>303</v>
      </c>
      <c r="G256" s="73"/>
      <c r="H256" s="267">
        <f>H257</f>
        <v>2007.6999999999998</v>
      </c>
    </row>
    <row r="257" spans="1:8" ht="36" x14ac:dyDescent="0.35">
      <c r="A257" s="434"/>
      <c r="B257" s="606" t="s">
        <v>53</v>
      </c>
      <c r="C257" s="258" t="s">
        <v>63</v>
      </c>
      <c r="D257" s="259" t="s">
        <v>44</v>
      </c>
      <c r="E257" s="259" t="s">
        <v>36</v>
      </c>
      <c r="F257" s="260" t="s">
        <v>303</v>
      </c>
      <c r="G257" s="73" t="s">
        <v>54</v>
      </c>
      <c r="H257" s="267">
        <f>'прил8 (ведом 24)'!M719</f>
        <v>2007.6999999999998</v>
      </c>
    </row>
    <row r="258" spans="1:8" s="444" customFormat="1" ht="30.75" customHeight="1" x14ac:dyDescent="0.35">
      <c r="A258" s="434"/>
      <c r="B258" s="606" t="s">
        <v>217</v>
      </c>
      <c r="C258" s="258" t="s">
        <v>63</v>
      </c>
      <c r="D258" s="259" t="s">
        <v>87</v>
      </c>
      <c r="E258" s="259" t="s">
        <v>42</v>
      </c>
      <c r="F258" s="260" t="s">
        <v>43</v>
      </c>
      <c r="G258" s="73"/>
      <c r="H258" s="267">
        <f>H259+H266+H269+H272</f>
        <v>3835.9</v>
      </c>
    </row>
    <row r="259" spans="1:8" s="444" customFormat="1" ht="36" x14ac:dyDescent="0.35">
      <c r="A259" s="434"/>
      <c r="B259" s="606" t="s">
        <v>296</v>
      </c>
      <c r="C259" s="258" t="s">
        <v>63</v>
      </c>
      <c r="D259" s="259" t="s">
        <v>87</v>
      </c>
      <c r="E259" s="259" t="s">
        <v>36</v>
      </c>
      <c r="F259" s="260" t="s">
        <v>43</v>
      </c>
      <c r="G259" s="73"/>
      <c r="H259" s="267">
        <f>H260+H264</f>
        <v>3686.7</v>
      </c>
    </row>
    <row r="260" spans="1:8" s="444" customFormat="1" ht="36" x14ac:dyDescent="0.35">
      <c r="A260" s="434"/>
      <c r="B260" s="606" t="s">
        <v>46</v>
      </c>
      <c r="C260" s="258" t="s">
        <v>63</v>
      </c>
      <c r="D260" s="259" t="s">
        <v>87</v>
      </c>
      <c r="E260" s="259" t="s">
        <v>36</v>
      </c>
      <c r="F260" s="260" t="s">
        <v>47</v>
      </c>
      <c r="G260" s="73"/>
      <c r="H260" s="267">
        <f>SUM(H261:H263)</f>
        <v>3680.1</v>
      </c>
    </row>
    <row r="261" spans="1:8" s="444" customFormat="1" ht="90" x14ac:dyDescent="0.35">
      <c r="A261" s="434"/>
      <c r="B261" s="606" t="s">
        <v>48</v>
      </c>
      <c r="C261" s="258" t="s">
        <v>63</v>
      </c>
      <c r="D261" s="259" t="s">
        <v>87</v>
      </c>
      <c r="E261" s="259" t="s">
        <v>36</v>
      </c>
      <c r="F261" s="260" t="s">
        <v>47</v>
      </c>
      <c r="G261" s="73" t="s">
        <v>49</v>
      </c>
      <c r="H261" s="267">
        <f>'прил8 (ведом 24)'!M725</f>
        <v>3316</v>
      </c>
    </row>
    <row r="262" spans="1:8" ht="36" x14ac:dyDescent="0.35">
      <c r="A262" s="434"/>
      <c r="B262" s="606" t="s">
        <v>53</v>
      </c>
      <c r="C262" s="258" t="s">
        <v>63</v>
      </c>
      <c r="D262" s="259" t="s">
        <v>87</v>
      </c>
      <c r="E262" s="259" t="s">
        <v>36</v>
      </c>
      <c r="F262" s="260" t="s">
        <v>47</v>
      </c>
      <c r="G262" s="73" t="s">
        <v>54</v>
      </c>
      <c r="H262" s="267">
        <f>'прил8 (ведом 24)'!M726</f>
        <v>362.9</v>
      </c>
    </row>
    <row r="263" spans="1:8" ht="18" x14ac:dyDescent="0.35">
      <c r="A263" s="434"/>
      <c r="B263" s="606" t="s">
        <v>55</v>
      </c>
      <c r="C263" s="258" t="s">
        <v>63</v>
      </c>
      <c r="D263" s="259" t="s">
        <v>87</v>
      </c>
      <c r="E263" s="259" t="s">
        <v>36</v>
      </c>
      <c r="F263" s="260" t="s">
        <v>47</v>
      </c>
      <c r="G263" s="73" t="s">
        <v>56</v>
      </c>
      <c r="H263" s="267">
        <f>'прил8 (ведом 24)'!M727</f>
        <v>1.2</v>
      </c>
    </row>
    <row r="264" spans="1:8" ht="54" x14ac:dyDescent="0.35">
      <c r="A264" s="434"/>
      <c r="B264" s="681" t="s">
        <v>401</v>
      </c>
      <c r="C264" s="799" t="s">
        <v>63</v>
      </c>
      <c r="D264" s="800" t="s">
        <v>87</v>
      </c>
      <c r="E264" s="800" t="s">
        <v>36</v>
      </c>
      <c r="F264" s="801" t="s">
        <v>400</v>
      </c>
      <c r="G264" s="73"/>
      <c r="H264" s="267">
        <f>H265</f>
        <v>6.6</v>
      </c>
    </row>
    <row r="265" spans="1:8" ht="36" x14ac:dyDescent="0.35">
      <c r="A265" s="434"/>
      <c r="B265" s="681" t="s">
        <v>53</v>
      </c>
      <c r="C265" s="799" t="s">
        <v>63</v>
      </c>
      <c r="D265" s="800" t="s">
        <v>87</v>
      </c>
      <c r="E265" s="800" t="s">
        <v>36</v>
      </c>
      <c r="F265" s="801" t="s">
        <v>400</v>
      </c>
      <c r="G265" s="73" t="s">
        <v>54</v>
      </c>
      <c r="H265" s="267">
        <f>'прил8 (ведом 24)'!M699</f>
        <v>6.6</v>
      </c>
    </row>
    <row r="266" spans="1:8" ht="36" x14ac:dyDescent="0.35">
      <c r="A266" s="434"/>
      <c r="B266" s="619" t="s">
        <v>371</v>
      </c>
      <c r="C266" s="259" t="s">
        <v>63</v>
      </c>
      <c r="D266" s="259" t="s">
        <v>87</v>
      </c>
      <c r="E266" s="259" t="s">
        <v>38</v>
      </c>
      <c r="F266" s="260" t="s">
        <v>43</v>
      </c>
      <c r="G266" s="73"/>
      <c r="H266" s="267">
        <f>H267</f>
        <v>87.3</v>
      </c>
    </row>
    <row r="267" spans="1:8" ht="54" x14ac:dyDescent="0.35">
      <c r="A267" s="434"/>
      <c r="B267" s="619" t="s">
        <v>372</v>
      </c>
      <c r="C267" s="258" t="s">
        <v>63</v>
      </c>
      <c r="D267" s="259" t="s">
        <v>87</v>
      </c>
      <c r="E267" s="259" t="s">
        <v>38</v>
      </c>
      <c r="F267" s="260" t="s">
        <v>103</v>
      </c>
      <c r="G267" s="73"/>
      <c r="H267" s="267">
        <f>H268</f>
        <v>87.3</v>
      </c>
    </row>
    <row r="268" spans="1:8" ht="36" x14ac:dyDescent="0.35">
      <c r="A268" s="434"/>
      <c r="B268" s="619" t="s">
        <v>53</v>
      </c>
      <c r="C268" s="258" t="s">
        <v>63</v>
      </c>
      <c r="D268" s="259" t="s">
        <v>87</v>
      </c>
      <c r="E268" s="259" t="s">
        <v>38</v>
      </c>
      <c r="F268" s="260" t="s">
        <v>103</v>
      </c>
      <c r="G268" s="73" t="s">
        <v>54</v>
      </c>
      <c r="H268" s="267">
        <f>'прил8 (ведом 24)'!M702</f>
        <v>87.3</v>
      </c>
    </row>
    <row r="269" spans="1:8" ht="36" x14ac:dyDescent="0.35">
      <c r="A269" s="434"/>
      <c r="B269" s="607" t="s">
        <v>488</v>
      </c>
      <c r="C269" s="259" t="s">
        <v>63</v>
      </c>
      <c r="D269" s="259" t="s">
        <v>87</v>
      </c>
      <c r="E269" s="259" t="s">
        <v>61</v>
      </c>
      <c r="F269" s="260" t="s">
        <v>43</v>
      </c>
      <c r="G269" s="73"/>
      <c r="H269" s="267">
        <f>H270</f>
        <v>15.4</v>
      </c>
    </row>
    <row r="270" spans="1:8" ht="18" x14ac:dyDescent="0.35">
      <c r="A270" s="434"/>
      <c r="B270" s="607" t="s">
        <v>486</v>
      </c>
      <c r="C270" s="259" t="s">
        <v>63</v>
      </c>
      <c r="D270" s="259" t="s">
        <v>87</v>
      </c>
      <c r="E270" s="259" t="s">
        <v>61</v>
      </c>
      <c r="F270" s="260" t="s">
        <v>487</v>
      </c>
      <c r="G270" s="73"/>
      <c r="H270" s="267">
        <f>H271</f>
        <v>15.4</v>
      </c>
    </row>
    <row r="271" spans="1:8" ht="36" x14ac:dyDescent="0.35">
      <c r="A271" s="434"/>
      <c r="B271" s="619" t="s">
        <v>53</v>
      </c>
      <c r="C271" s="259" t="s">
        <v>63</v>
      </c>
      <c r="D271" s="259" t="s">
        <v>87</v>
      </c>
      <c r="E271" s="259" t="s">
        <v>61</v>
      </c>
      <c r="F271" s="260" t="s">
        <v>487</v>
      </c>
      <c r="G271" s="73" t="s">
        <v>54</v>
      </c>
      <c r="H271" s="267">
        <f>'прил8 (ведом 24)'!M705</f>
        <v>15.4</v>
      </c>
    </row>
    <row r="272" spans="1:8" ht="36" x14ac:dyDescent="0.35">
      <c r="A272" s="434"/>
      <c r="B272" s="619" t="s">
        <v>491</v>
      </c>
      <c r="C272" s="259" t="s">
        <v>63</v>
      </c>
      <c r="D272" s="259" t="s">
        <v>87</v>
      </c>
      <c r="E272" s="259" t="s">
        <v>50</v>
      </c>
      <c r="F272" s="794" t="s">
        <v>43</v>
      </c>
      <c r="G272" s="297"/>
      <c r="H272" s="267">
        <f>H273</f>
        <v>46.5</v>
      </c>
    </row>
    <row r="273" spans="1:8" ht="36" x14ac:dyDescent="0.35">
      <c r="A273" s="434"/>
      <c r="B273" s="620" t="s">
        <v>125</v>
      </c>
      <c r="C273" s="259" t="s">
        <v>63</v>
      </c>
      <c r="D273" s="259" t="s">
        <v>87</v>
      </c>
      <c r="E273" s="259" t="s">
        <v>50</v>
      </c>
      <c r="F273" s="458" t="s">
        <v>88</v>
      </c>
      <c r="G273" s="297"/>
      <c r="H273" s="267">
        <f>H274</f>
        <v>46.5</v>
      </c>
    </row>
    <row r="274" spans="1:8" ht="36" x14ac:dyDescent="0.35">
      <c r="A274" s="434"/>
      <c r="B274" s="619" t="s">
        <v>53</v>
      </c>
      <c r="C274" s="259" t="s">
        <v>63</v>
      </c>
      <c r="D274" s="259" t="s">
        <v>87</v>
      </c>
      <c r="E274" s="259" t="s">
        <v>50</v>
      </c>
      <c r="F274" s="794" t="s">
        <v>88</v>
      </c>
      <c r="G274" s="297" t="s">
        <v>54</v>
      </c>
      <c r="H274" s="267">
        <f>'прил8 (ведом 24)'!M708</f>
        <v>46.5</v>
      </c>
    </row>
    <row r="275" spans="1:8" ht="18" x14ac:dyDescent="0.35">
      <c r="A275" s="434"/>
      <c r="B275" s="619"/>
      <c r="C275" s="258"/>
      <c r="D275" s="259"/>
      <c r="E275" s="259"/>
      <c r="F275" s="794"/>
      <c r="G275" s="297"/>
      <c r="H275" s="267"/>
    </row>
    <row r="276" spans="1:8" s="444" customFormat="1" ht="52.2" x14ac:dyDescent="0.3">
      <c r="A276" s="449">
        <v>5</v>
      </c>
      <c r="B276" s="605" t="s">
        <v>78</v>
      </c>
      <c r="C276" s="450" t="s">
        <v>79</v>
      </c>
      <c r="D276" s="450" t="s">
        <v>41</v>
      </c>
      <c r="E276" s="450" t="s">
        <v>42</v>
      </c>
      <c r="F276" s="451" t="s">
        <v>43</v>
      </c>
      <c r="G276" s="443"/>
      <c r="H276" s="310">
        <f>H287+H277+H296+H302</f>
        <v>25632.83913</v>
      </c>
    </row>
    <row r="277" spans="1:8" ht="54" x14ac:dyDescent="0.35">
      <c r="A277" s="434"/>
      <c r="B277" s="614" t="s">
        <v>80</v>
      </c>
      <c r="C277" s="258" t="s">
        <v>79</v>
      </c>
      <c r="D277" s="259" t="s">
        <v>44</v>
      </c>
      <c r="E277" s="259" t="s">
        <v>42</v>
      </c>
      <c r="F277" s="260" t="s">
        <v>43</v>
      </c>
      <c r="G277" s="297"/>
      <c r="H277" s="267">
        <f>H278</f>
        <v>11531.6</v>
      </c>
    </row>
    <row r="278" spans="1:8" ht="72" x14ac:dyDescent="0.35">
      <c r="A278" s="434"/>
      <c r="B278" s="606" t="s">
        <v>81</v>
      </c>
      <c r="C278" s="258" t="s">
        <v>79</v>
      </c>
      <c r="D278" s="259" t="s">
        <v>44</v>
      </c>
      <c r="E278" s="259" t="s">
        <v>36</v>
      </c>
      <c r="F278" s="260" t="s">
        <v>43</v>
      </c>
      <c r="G278" s="73"/>
      <c r="H278" s="267">
        <f>H279+H281+H283+H285</f>
        <v>11531.6</v>
      </c>
    </row>
    <row r="279" spans="1:8" ht="36" x14ac:dyDescent="0.35">
      <c r="A279" s="434"/>
      <c r="B279" s="614" t="s">
        <v>471</v>
      </c>
      <c r="C279" s="258" t="s">
        <v>79</v>
      </c>
      <c r="D279" s="259" t="s">
        <v>44</v>
      </c>
      <c r="E279" s="259" t="s">
        <v>36</v>
      </c>
      <c r="F279" s="260" t="s">
        <v>82</v>
      </c>
      <c r="G279" s="73"/>
      <c r="H279" s="267">
        <f>H280</f>
        <v>1926.4</v>
      </c>
    </row>
    <row r="280" spans="1:8" ht="36" x14ac:dyDescent="0.35">
      <c r="A280" s="434"/>
      <c r="B280" s="606" t="s">
        <v>53</v>
      </c>
      <c r="C280" s="258" t="s">
        <v>79</v>
      </c>
      <c r="D280" s="259" t="s">
        <v>44</v>
      </c>
      <c r="E280" s="259" t="s">
        <v>36</v>
      </c>
      <c r="F280" s="260" t="s">
        <v>82</v>
      </c>
      <c r="G280" s="73" t="s">
        <v>54</v>
      </c>
      <c r="H280" s="267">
        <f>'прил8 (ведом 24)'!M97</f>
        <v>1926.4</v>
      </c>
    </row>
    <row r="281" spans="1:8" ht="36" x14ac:dyDescent="0.35">
      <c r="A281" s="434"/>
      <c r="B281" s="606" t="s">
        <v>83</v>
      </c>
      <c r="C281" s="258" t="s">
        <v>79</v>
      </c>
      <c r="D281" s="259" t="s">
        <v>44</v>
      </c>
      <c r="E281" s="259" t="s">
        <v>36</v>
      </c>
      <c r="F281" s="260" t="s">
        <v>84</v>
      </c>
      <c r="G281" s="73"/>
      <c r="H281" s="267">
        <f>H282</f>
        <v>67.2</v>
      </c>
    </row>
    <row r="282" spans="1:8" ht="36" x14ac:dyDescent="0.35">
      <c r="A282" s="434"/>
      <c r="B282" s="606" t="s">
        <v>53</v>
      </c>
      <c r="C282" s="258" t="s">
        <v>79</v>
      </c>
      <c r="D282" s="259" t="s">
        <v>44</v>
      </c>
      <c r="E282" s="259" t="s">
        <v>36</v>
      </c>
      <c r="F282" s="260" t="s">
        <v>84</v>
      </c>
      <c r="G282" s="73" t="s">
        <v>54</v>
      </c>
      <c r="H282" s="267">
        <f>'прил8 (ведом 24)'!M99</f>
        <v>67.2</v>
      </c>
    </row>
    <row r="283" spans="1:8" ht="126" x14ac:dyDescent="0.35">
      <c r="A283" s="434"/>
      <c r="B283" s="610" t="s">
        <v>608</v>
      </c>
      <c r="C283" s="258" t="s">
        <v>79</v>
      </c>
      <c r="D283" s="259" t="s">
        <v>44</v>
      </c>
      <c r="E283" s="259" t="s">
        <v>36</v>
      </c>
      <c r="F283" s="260" t="s">
        <v>349</v>
      </c>
      <c r="G283" s="73"/>
      <c r="H283" s="267">
        <f>H284</f>
        <v>9483.9</v>
      </c>
    </row>
    <row r="284" spans="1:8" ht="18" x14ac:dyDescent="0.35">
      <c r="A284" s="434"/>
      <c r="B284" s="606" t="s">
        <v>121</v>
      </c>
      <c r="C284" s="258" t="s">
        <v>79</v>
      </c>
      <c r="D284" s="259" t="s">
        <v>44</v>
      </c>
      <c r="E284" s="259" t="s">
        <v>36</v>
      </c>
      <c r="F284" s="260" t="s">
        <v>349</v>
      </c>
      <c r="G284" s="73" t="s">
        <v>122</v>
      </c>
      <c r="H284" s="267">
        <f>'прил8 (ведом 24)'!M101</f>
        <v>9483.9</v>
      </c>
    </row>
    <row r="285" spans="1:8" ht="72" x14ac:dyDescent="0.35">
      <c r="A285" s="434"/>
      <c r="B285" s="606" t="s">
        <v>607</v>
      </c>
      <c r="C285" s="258" t="s">
        <v>79</v>
      </c>
      <c r="D285" s="259" t="s">
        <v>44</v>
      </c>
      <c r="E285" s="259" t="s">
        <v>36</v>
      </c>
      <c r="F285" s="260" t="s">
        <v>350</v>
      </c>
      <c r="G285" s="73"/>
      <c r="H285" s="267">
        <f>H286</f>
        <v>54.1</v>
      </c>
    </row>
    <row r="286" spans="1:8" ht="18" x14ac:dyDescent="0.35">
      <c r="A286" s="434"/>
      <c r="B286" s="606" t="s">
        <v>121</v>
      </c>
      <c r="C286" s="258" t="s">
        <v>79</v>
      </c>
      <c r="D286" s="259" t="s">
        <v>44</v>
      </c>
      <c r="E286" s="259" t="s">
        <v>36</v>
      </c>
      <c r="F286" s="260" t="s">
        <v>350</v>
      </c>
      <c r="G286" s="73" t="s">
        <v>122</v>
      </c>
      <c r="H286" s="267">
        <f>'прил8 (ведом 24)'!M103</f>
        <v>54.1</v>
      </c>
    </row>
    <row r="287" spans="1:8" ht="36" x14ac:dyDescent="0.35">
      <c r="A287" s="434"/>
      <c r="B287" s="621" t="s">
        <v>123</v>
      </c>
      <c r="C287" s="258" t="s">
        <v>79</v>
      </c>
      <c r="D287" s="259" t="s">
        <v>87</v>
      </c>
      <c r="E287" s="259" t="s">
        <v>42</v>
      </c>
      <c r="F287" s="260" t="s">
        <v>43</v>
      </c>
      <c r="G287" s="297"/>
      <c r="H287" s="267">
        <f>H288+H293</f>
        <v>1827.1991199999998</v>
      </c>
    </row>
    <row r="288" spans="1:8" ht="36" x14ac:dyDescent="0.35">
      <c r="A288" s="434"/>
      <c r="B288" s="606" t="s">
        <v>285</v>
      </c>
      <c r="C288" s="258" t="s">
        <v>79</v>
      </c>
      <c r="D288" s="259" t="s">
        <v>87</v>
      </c>
      <c r="E288" s="259" t="s">
        <v>36</v>
      </c>
      <c r="F288" s="260" t="s">
        <v>43</v>
      </c>
      <c r="G288" s="73"/>
      <c r="H288" s="267">
        <f>H289+H291</f>
        <v>342.6</v>
      </c>
    </row>
    <row r="289" spans="1:8" ht="36" x14ac:dyDescent="0.35">
      <c r="A289" s="434"/>
      <c r="B289" s="606" t="s">
        <v>125</v>
      </c>
      <c r="C289" s="258" t="s">
        <v>79</v>
      </c>
      <c r="D289" s="259" t="s">
        <v>87</v>
      </c>
      <c r="E289" s="259" t="s">
        <v>36</v>
      </c>
      <c r="F289" s="260" t="s">
        <v>88</v>
      </c>
      <c r="G289" s="73"/>
      <c r="H289" s="267">
        <f>SUM(H290:H290)</f>
        <v>218.7</v>
      </c>
    </row>
    <row r="290" spans="1:8" ht="36" x14ac:dyDescent="0.35">
      <c r="A290" s="434"/>
      <c r="B290" s="606" t="s">
        <v>53</v>
      </c>
      <c r="C290" s="258" t="s">
        <v>79</v>
      </c>
      <c r="D290" s="259" t="s">
        <v>87</v>
      </c>
      <c r="E290" s="259" t="s">
        <v>36</v>
      </c>
      <c r="F290" s="260" t="s">
        <v>88</v>
      </c>
      <c r="G290" s="73" t="s">
        <v>54</v>
      </c>
      <c r="H290" s="267">
        <f>'прил8 (ведом 24)'!M109</f>
        <v>218.7</v>
      </c>
    </row>
    <row r="291" spans="1:8" ht="72" x14ac:dyDescent="0.35">
      <c r="A291" s="434"/>
      <c r="B291" s="606" t="s">
        <v>607</v>
      </c>
      <c r="C291" s="258" t="s">
        <v>79</v>
      </c>
      <c r="D291" s="259" t="s">
        <v>87</v>
      </c>
      <c r="E291" s="259" t="s">
        <v>36</v>
      </c>
      <c r="F291" s="260" t="s">
        <v>350</v>
      </c>
      <c r="G291" s="73"/>
      <c r="H291" s="267">
        <f>H292</f>
        <v>123.9</v>
      </c>
    </row>
    <row r="292" spans="1:8" ht="18" x14ac:dyDescent="0.35">
      <c r="A292" s="434"/>
      <c r="B292" s="621" t="s">
        <v>121</v>
      </c>
      <c r="C292" s="258" t="s">
        <v>79</v>
      </c>
      <c r="D292" s="259" t="s">
        <v>87</v>
      </c>
      <c r="E292" s="259" t="s">
        <v>36</v>
      </c>
      <c r="F292" s="260" t="s">
        <v>350</v>
      </c>
      <c r="G292" s="73" t="s">
        <v>122</v>
      </c>
      <c r="H292" s="267">
        <f>'прил8 (ведом 24)'!M111</f>
        <v>123.9</v>
      </c>
    </row>
    <row r="293" spans="1:8" ht="54" x14ac:dyDescent="0.35">
      <c r="A293" s="434"/>
      <c r="B293" s="622" t="s">
        <v>124</v>
      </c>
      <c r="C293" s="258" t="s">
        <v>79</v>
      </c>
      <c r="D293" s="259" t="s">
        <v>87</v>
      </c>
      <c r="E293" s="259" t="s">
        <v>38</v>
      </c>
      <c r="F293" s="260" t="s">
        <v>43</v>
      </c>
      <c r="G293" s="73"/>
      <c r="H293" s="267">
        <f>H294</f>
        <v>1484.5991199999999</v>
      </c>
    </row>
    <row r="294" spans="1:8" ht="36" x14ac:dyDescent="0.35">
      <c r="A294" s="434"/>
      <c r="B294" s="622" t="s">
        <v>125</v>
      </c>
      <c r="C294" s="258" t="s">
        <v>79</v>
      </c>
      <c r="D294" s="259" t="s">
        <v>87</v>
      </c>
      <c r="E294" s="259" t="s">
        <v>38</v>
      </c>
      <c r="F294" s="260" t="s">
        <v>88</v>
      </c>
      <c r="G294" s="73"/>
      <c r="H294" s="267">
        <f>H295</f>
        <v>1484.5991199999999</v>
      </c>
    </row>
    <row r="295" spans="1:8" ht="36" x14ac:dyDescent="0.35">
      <c r="A295" s="434"/>
      <c r="B295" s="606" t="s">
        <v>53</v>
      </c>
      <c r="C295" s="258" t="s">
        <v>79</v>
      </c>
      <c r="D295" s="259" t="s">
        <v>87</v>
      </c>
      <c r="E295" s="259" t="s">
        <v>38</v>
      </c>
      <c r="F295" s="260" t="s">
        <v>88</v>
      </c>
      <c r="G295" s="73" t="s">
        <v>54</v>
      </c>
      <c r="H295" s="267">
        <f>'прил8 (ведом 24)'!M114</f>
        <v>1484.5991199999999</v>
      </c>
    </row>
    <row r="296" spans="1:8" ht="54" x14ac:dyDescent="0.35">
      <c r="A296" s="434"/>
      <c r="B296" s="623" t="s">
        <v>389</v>
      </c>
      <c r="C296" s="258" t="s">
        <v>79</v>
      </c>
      <c r="D296" s="259" t="s">
        <v>29</v>
      </c>
      <c r="E296" s="259" t="s">
        <v>42</v>
      </c>
      <c r="F296" s="260" t="s">
        <v>43</v>
      </c>
      <c r="G296" s="73"/>
      <c r="H296" s="267">
        <f>H297</f>
        <v>12245.34001</v>
      </c>
    </row>
    <row r="297" spans="1:8" ht="65.25" customHeight="1" x14ac:dyDescent="0.35">
      <c r="A297" s="434"/>
      <c r="B297" s="622" t="s">
        <v>343</v>
      </c>
      <c r="C297" s="258" t="s">
        <v>79</v>
      </c>
      <c r="D297" s="259" t="s">
        <v>29</v>
      </c>
      <c r="E297" s="259" t="s">
        <v>36</v>
      </c>
      <c r="F297" s="260" t="s">
        <v>43</v>
      </c>
      <c r="G297" s="73"/>
      <c r="H297" s="267">
        <f>H298</f>
        <v>12245.34001</v>
      </c>
    </row>
    <row r="298" spans="1:8" ht="36" x14ac:dyDescent="0.35">
      <c r="A298" s="434"/>
      <c r="B298" s="606" t="s">
        <v>484</v>
      </c>
      <c r="C298" s="258" t="s">
        <v>79</v>
      </c>
      <c r="D298" s="259" t="s">
        <v>29</v>
      </c>
      <c r="E298" s="259" t="s">
        <v>36</v>
      </c>
      <c r="F298" s="260" t="s">
        <v>89</v>
      </c>
      <c r="G298" s="73"/>
      <c r="H298" s="267">
        <f>SUM(H299:H301)</f>
        <v>12245.34001</v>
      </c>
    </row>
    <row r="299" spans="1:8" s="444" customFormat="1" ht="90" x14ac:dyDescent="0.35">
      <c r="A299" s="434"/>
      <c r="B299" s="606" t="s">
        <v>48</v>
      </c>
      <c r="C299" s="258" t="s">
        <v>79</v>
      </c>
      <c r="D299" s="259" t="s">
        <v>29</v>
      </c>
      <c r="E299" s="259" t="s">
        <v>36</v>
      </c>
      <c r="F299" s="260" t="s">
        <v>89</v>
      </c>
      <c r="G299" s="73" t="s">
        <v>49</v>
      </c>
      <c r="H299" s="267">
        <f>'прил8 (ведом 24)'!M118</f>
        <v>9058.7999999999993</v>
      </c>
    </row>
    <row r="300" spans="1:8" ht="36" x14ac:dyDescent="0.35">
      <c r="A300" s="434"/>
      <c r="B300" s="606" t="s">
        <v>53</v>
      </c>
      <c r="C300" s="258" t="s">
        <v>79</v>
      </c>
      <c r="D300" s="259" t="s">
        <v>29</v>
      </c>
      <c r="E300" s="259" t="s">
        <v>36</v>
      </c>
      <c r="F300" s="260" t="s">
        <v>89</v>
      </c>
      <c r="G300" s="73" t="s">
        <v>54</v>
      </c>
      <c r="H300" s="267">
        <f>'прил8 (ведом 24)'!M119</f>
        <v>3183.2400100000004</v>
      </c>
    </row>
    <row r="301" spans="1:8" s="444" customFormat="1" ht="18" x14ac:dyDescent="0.35">
      <c r="A301" s="434"/>
      <c r="B301" s="606" t="s">
        <v>55</v>
      </c>
      <c r="C301" s="258" t="s">
        <v>79</v>
      </c>
      <c r="D301" s="259" t="s">
        <v>29</v>
      </c>
      <c r="E301" s="259" t="s">
        <v>36</v>
      </c>
      <c r="F301" s="260" t="s">
        <v>89</v>
      </c>
      <c r="G301" s="73" t="s">
        <v>56</v>
      </c>
      <c r="H301" s="267">
        <f>'прил8 (ведом 24)'!M120</f>
        <v>3.3</v>
      </c>
    </row>
    <row r="302" spans="1:8" s="444" customFormat="1" ht="54" x14ac:dyDescent="0.35">
      <c r="A302" s="434"/>
      <c r="B302" s="624" t="s">
        <v>504</v>
      </c>
      <c r="C302" s="799" t="s">
        <v>79</v>
      </c>
      <c r="D302" s="800" t="s">
        <v>30</v>
      </c>
      <c r="E302" s="800" t="s">
        <v>42</v>
      </c>
      <c r="F302" s="801" t="s">
        <v>43</v>
      </c>
      <c r="G302" s="55"/>
      <c r="H302" s="267">
        <f>H303</f>
        <v>28.7</v>
      </c>
    </row>
    <row r="303" spans="1:8" s="444" customFormat="1" ht="54" x14ac:dyDescent="0.35">
      <c r="A303" s="434"/>
      <c r="B303" s="625" t="s">
        <v>505</v>
      </c>
      <c r="C303" s="799" t="s">
        <v>79</v>
      </c>
      <c r="D303" s="800" t="s">
        <v>30</v>
      </c>
      <c r="E303" s="800" t="s">
        <v>36</v>
      </c>
      <c r="F303" s="801" t="s">
        <v>43</v>
      </c>
      <c r="G303" s="55"/>
      <c r="H303" s="267">
        <f>H304</f>
        <v>28.7</v>
      </c>
    </row>
    <row r="304" spans="1:8" s="444" customFormat="1" ht="36" x14ac:dyDescent="0.35">
      <c r="A304" s="434"/>
      <c r="B304" s="626" t="s">
        <v>83</v>
      </c>
      <c r="C304" s="799" t="s">
        <v>79</v>
      </c>
      <c r="D304" s="800" t="s">
        <v>30</v>
      </c>
      <c r="E304" s="800" t="s">
        <v>36</v>
      </c>
      <c r="F304" s="801" t="s">
        <v>84</v>
      </c>
      <c r="G304" s="55"/>
      <c r="H304" s="267">
        <f>H305</f>
        <v>28.7</v>
      </c>
    </row>
    <row r="305" spans="1:8" s="444" customFormat="1" ht="36" x14ac:dyDescent="0.35">
      <c r="A305" s="434"/>
      <c r="B305" s="627" t="s">
        <v>53</v>
      </c>
      <c r="C305" s="799" t="s">
        <v>79</v>
      </c>
      <c r="D305" s="800" t="s">
        <v>30</v>
      </c>
      <c r="E305" s="800" t="s">
        <v>36</v>
      </c>
      <c r="F305" s="801" t="s">
        <v>84</v>
      </c>
      <c r="G305" s="55" t="s">
        <v>54</v>
      </c>
      <c r="H305" s="267">
        <f>'прил8 (ведом 24)'!M124</f>
        <v>28.7</v>
      </c>
    </row>
    <row r="306" spans="1:8" ht="18" x14ac:dyDescent="0.35">
      <c r="A306" s="459"/>
      <c r="B306" s="609"/>
      <c r="C306" s="460"/>
      <c r="D306" s="793"/>
      <c r="E306" s="793"/>
      <c r="F306" s="794"/>
      <c r="G306" s="297"/>
      <c r="H306" s="267"/>
    </row>
    <row r="307" spans="1:8" s="444" customFormat="1" ht="52.2" x14ac:dyDescent="0.3">
      <c r="A307" s="449">
        <v>6</v>
      </c>
      <c r="B307" s="618" t="s">
        <v>220</v>
      </c>
      <c r="C307" s="441" t="s">
        <v>221</v>
      </c>
      <c r="D307" s="441" t="s">
        <v>41</v>
      </c>
      <c r="E307" s="441" t="s">
        <v>42</v>
      </c>
      <c r="F307" s="442" t="s">
        <v>43</v>
      </c>
      <c r="G307" s="443"/>
      <c r="H307" s="310">
        <f>H308</f>
        <v>47659.299999999996</v>
      </c>
    </row>
    <row r="308" spans="1:8" ht="31.5" customHeight="1" x14ac:dyDescent="0.35">
      <c r="A308" s="434"/>
      <c r="B308" s="606" t="s">
        <v>359</v>
      </c>
      <c r="C308" s="461" t="s">
        <v>221</v>
      </c>
      <c r="D308" s="462" t="s">
        <v>44</v>
      </c>
      <c r="E308" s="259" t="s">
        <v>42</v>
      </c>
      <c r="F308" s="260" t="s">
        <v>43</v>
      </c>
      <c r="G308" s="73"/>
      <c r="H308" s="267">
        <f>H309+H318+H323+H329+H326</f>
        <v>47659.299999999996</v>
      </c>
    </row>
    <row r="309" spans="1:8" ht="46.5" customHeight="1" x14ac:dyDescent="0.35">
      <c r="A309" s="434"/>
      <c r="B309" s="606" t="s">
        <v>317</v>
      </c>
      <c r="C309" s="461" t="s">
        <v>221</v>
      </c>
      <c r="D309" s="462" t="s">
        <v>44</v>
      </c>
      <c r="E309" s="259" t="s">
        <v>36</v>
      </c>
      <c r="F309" s="260" t="s">
        <v>43</v>
      </c>
      <c r="G309" s="73"/>
      <c r="H309" s="267">
        <f>H310+H316+H314</f>
        <v>31724.9</v>
      </c>
    </row>
    <row r="310" spans="1:8" ht="36" x14ac:dyDescent="0.35">
      <c r="A310" s="434"/>
      <c r="B310" s="606" t="s">
        <v>46</v>
      </c>
      <c r="C310" s="461" t="s">
        <v>221</v>
      </c>
      <c r="D310" s="462" t="s">
        <v>44</v>
      </c>
      <c r="E310" s="259" t="s">
        <v>36</v>
      </c>
      <c r="F310" s="260" t="s">
        <v>47</v>
      </c>
      <c r="G310" s="73"/>
      <c r="H310" s="267">
        <f>SUM(H311:H313)</f>
        <v>31446.600000000002</v>
      </c>
    </row>
    <row r="311" spans="1:8" ht="90" x14ac:dyDescent="0.35">
      <c r="A311" s="434"/>
      <c r="B311" s="606" t="s">
        <v>48</v>
      </c>
      <c r="C311" s="461" t="s">
        <v>221</v>
      </c>
      <c r="D311" s="462" t="s">
        <v>44</v>
      </c>
      <c r="E311" s="259" t="s">
        <v>36</v>
      </c>
      <c r="F311" s="260" t="s">
        <v>47</v>
      </c>
      <c r="G311" s="73" t="s">
        <v>49</v>
      </c>
      <c r="H311" s="267">
        <f>'прил8 (ведом 24)'!M223</f>
        <v>30863.000000000004</v>
      </c>
    </row>
    <row r="312" spans="1:8" ht="36" x14ac:dyDescent="0.35">
      <c r="A312" s="434"/>
      <c r="B312" s="606" t="s">
        <v>53</v>
      </c>
      <c r="C312" s="461" t="s">
        <v>221</v>
      </c>
      <c r="D312" s="462" t="s">
        <v>44</v>
      </c>
      <c r="E312" s="259" t="s">
        <v>36</v>
      </c>
      <c r="F312" s="260" t="s">
        <v>47</v>
      </c>
      <c r="G312" s="73" t="s">
        <v>54</v>
      </c>
      <c r="H312" s="267">
        <f>'прил8 (ведом 24)'!M224</f>
        <v>579</v>
      </c>
    </row>
    <row r="313" spans="1:8" ht="18" x14ac:dyDescent="0.35">
      <c r="A313" s="434"/>
      <c r="B313" s="606" t="s">
        <v>55</v>
      </c>
      <c r="C313" s="461" t="s">
        <v>221</v>
      </c>
      <c r="D313" s="462" t="s">
        <v>44</v>
      </c>
      <c r="E313" s="259" t="s">
        <v>36</v>
      </c>
      <c r="F313" s="260" t="s">
        <v>47</v>
      </c>
      <c r="G313" s="73" t="s">
        <v>56</v>
      </c>
      <c r="H313" s="267">
        <f>'прил8 (ведом 24)'!M225</f>
        <v>4.5999999999999996</v>
      </c>
    </row>
    <row r="314" spans="1:8" ht="36" x14ac:dyDescent="0.35">
      <c r="A314" s="434"/>
      <c r="B314" s="607" t="s">
        <v>544</v>
      </c>
      <c r="C314" s="461" t="s">
        <v>221</v>
      </c>
      <c r="D314" s="462" t="s">
        <v>44</v>
      </c>
      <c r="E314" s="259" t="s">
        <v>36</v>
      </c>
      <c r="F314" s="260" t="s">
        <v>543</v>
      </c>
      <c r="G314" s="73"/>
      <c r="H314" s="267">
        <f>H315</f>
        <v>115.6</v>
      </c>
    </row>
    <row r="315" spans="1:8" ht="36" x14ac:dyDescent="0.35">
      <c r="A315" s="434"/>
      <c r="B315" s="607" t="s">
        <v>53</v>
      </c>
      <c r="C315" s="461" t="s">
        <v>221</v>
      </c>
      <c r="D315" s="462" t="s">
        <v>44</v>
      </c>
      <c r="E315" s="259" t="s">
        <v>36</v>
      </c>
      <c r="F315" s="260" t="s">
        <v>543</v>
      </c>
      <c r="G315" s="73" t="s">
        <v>54</v>
      </c>
      <c r="H315" s="267">
        <f>'прил8 (ведом 24)'!M247</f>
        <v>115.6</v>
      </c>
    </row>
    <row r="316" spans="1:8" ht="54" x14ac:dyDescent="0.35">
      <c r="A316" s="434"/>
      <c r="B316" s="607" t="s">
        <v>401</v>
      </c>
      <c r="C316" s="461" t="s">
        <v>221</v>
      </c>
      <c r="D316" s="462" t="s">
        <v>44</v>
      </c>
      <c r="E316" s="259" t="s">
        <v>36</v>
      </c>
      <c r="F316" s="260" t="s">
        <v>400</v>
      </c>
      <c r="G316" s="73"/>
      <c r="H316" s="267">
        <f>H317</f>
        <v>162.69999999999999</v>
      </c>
    </row>
    <row r="317" spans="1:8" ht="36" x14ac:dyDescent="0.35">
      <c r="A317" s="434"/>
      <c r="B317" s="607" t="s">
        <v>53</v>
      </c>
      <c r="C317" s="461" t="s">
        <v>221</v>
      </c>
      <c r="D317" s="462" t="s">
        <v>44</v>
      </c>
      <c r="E317" s="259" t="s">
        <v>36</v>
      </c>
      <c r="F317" s="260" t="s">
        <v>400</v>
      </c>
      <c r="G317" s="73" t="s">
        <v>54</v>
      </c>
      <c r="H317" s="267">
        <f>'прил8 (ведом 24)'!M234</f>
        <v>162.69999999999999</v>
      </c>
    </row>
    <row r="318" spans="1:8" ht="18" x14ac:dyDescent="0.35">
      <c r="A318" s="434"/>
      <c r="B318" s="606" t="s">
        <v>318</v>
      </c>
      <c r="C318" s="461" t="s">
        <v>221</v>
      </c>
      <c r="D318" s="462" t="s">
        <v>44</v>
      </c>
      <c r="E318" s="259" t="s">
        <v>38</v>
      </c>
      <c r="F318" s="260" t="s">
        <v>43</v>
      </c>
      <c r="G318" s="73"/>
      <c r="H318" s="267">
        <f>H319+H321</f>
        <v>11400</v>
      </c>
    </row>
    <row r="319" spans="1:8" ht="36" x14ac:dyDescent="0.35">
      <c r="A319" s="434"/>
      <c r="B319" s="607" t="s">
        <v>272</v>
      </c>
      <c r="C319" s="461" t="s">
        <v>221</v>
      </c>
      <c r="D319" s="462" t="s">
        <v>44</v>
      </c>
      <c r="E319" s="259" t="s">
        <v>38</v>
      </c>
      <c r="F319" s="260" t="s">
        <v>427</v>
      </c>
      <c r="G319" s="73"/>
      <c r="H319" s="267">
        <f>H320</f>
        <v>9000</v>
      </c>
    </row>
    <row r="320" spans="1:8" ht="18" x14ac:dyDescent="0.35">
      <c r="A320" s="434"/>
      <c r="B320" s="607" t="s">
        <v>121</v>
      </c>
      <c r="C320" s="461" t="s">
        <v>221</v>
      </c>
      <c r="D320" s="462" t="s">
        <v>44</v>
      </c>
      <c r="E320" s="259" t="s">
        <v>38</v>
      </c>
      <c r="F320" s="260" t="s">
        <v>427</v>
      </c>
      <c r="G320" s="73" t="s">
        <v>122</v>
      </c>
      <c r="H320" s="267">
        <f>'прил8 (ведом 24)'!M254</f>
        <v>9000</v>
      </c>
    </row>
    <row r="321" spans="1:8" ht="54" x14ac:dyDescent="0.35">
      <c r="A321" s="434"/>
      <c r="B321" s="696" t="s">
        <v>750</v>
      </c>
      <c r="C321" s="70" t="s">
        <v>221</v>
      </c>
      <c r="D321" s="71" t="s">
        <v>44</v>
      </c>
      <c r="E321" s="800" t="s">
        <v>38</v>
      </c>
      <c r="F321" s="801" t="s">
        <v>751</v>
      </c>
      <c r="G321" s="55"/>
      <c r="H321" s="267">
        <f>H322</f>
        <v>2400</v>
      </c>
    </row>
    <row r="322" spans="1:8" ht="18" x14ac:dyDescent="0.35">
      <c r="A322" s="434"/>
      <c r="B322" s="696" t="s">
        <v>121</v>
      </c>
      <c r="C322" s="70" t="s">
        <v>221</v>
      </c>
      <c r="D322" s="71" t="s">
        <v>44</v>
      </c>
      <c r="E322" s="800" t="s">
        <v>38</v>
      </c>
      <c r="F322" s="801" t="s">
        <v>751</v>
      </c>
      <c r="G322" s="55" t="s">
        <v>122</v>
      </c>
      <c r="H322" s="267">
        <f>'прил8 (ведом 24)'!M260</f>
        <v>2400</v>
      </c>
    </row>
    <row r="323" spans="1:8" ht="36" x14ac:dyDescent="0.35">
      <c r="A323" s="434"/>
      <c r="B323" s="606" t="s">
        <v>371</v>
      </c>
      <c r="C323" s="461" t="s">
        <v>221</v>
      </c>
      <c r="D323" s="462" t="s">
        <v>44</v>
      </c>
      <c r="E323" s="259" t="s">
        <v>61</v>
      </c>
      <c r="F323" s="260" t="s">
        <v>43</v>
      </c>
      <c r="G323" s="73"/>
      <c r="H323" s="267">
        <f>H324</f>
        <v>3481.7</v>
      </c>
    </row>
    <row r="324" spans="1:8" ht="54" x14ac:dyDescent="0.35">
      <c r="A324" s="434"/>
      <c r="B324" s="606" t="s">
        <v>372</v>
      </c>
      <c r="C324" s="461" t="s">
        <v>221</v>
      </c>
      <c r="D324" s="462" t="s">
        <v>44</v>
      </c>
      <c r="E324" s="259" t="s">
        <v>61</v>
      </c>
      <c r="F324" s="260" t="s">
        <v>103</v>
      </c>
      <c r="G324" s="73"/>
      <c r="H324" s="267">
        <f>H325</f>
        <v>3481.7</v>
      </c>
    </row>
    <row r="325" spans="1:8" ht="36" x14ac:dyDescent="0.35">
      <c r="A325" s="434"/>
      <c r="B325" s="606" t="s">
        <v>53</v>
      </c>
      <c r="C325" s="461" t="s">
        <v>221</v>
      </c>
      <c r="D325" s="462" t="s">
        <v>44</v>
      </c>
      <c r="E325" s="259" t="s">
        <v>61</v>
      </c>
      <c r="F325" s="260" t="s">
        <v>103</v>
      </c>
      <c r="G325" s="73" t="s">
        <v>54</v>
      </c>
      <c r="H325" s="267">
        <f>'прил8 (ведом 24)'!M237</f>
        <v>3481.7</v>
      </c>
    </row>
    <row r="326" spans="1:8" ht="54" x14ac:dyDescent="0.35">
      <c r="A326" s="434"/>
      <c r="B326" s="696" t="s">
        <v>605</v>
      </c>
      <c r="C326" s="70" t="s">
        <v>221</v>
      </c>
      <c r="D326" s="71" t="s">
        <v>44</v>
      </c>
      <c r="E326" s="800" t="s">
        <v>50</v>
      </c>
      <c r="F326" s="801" t="s">
        <v>43</v>
      </c>
      <c r="G326" s="55"/>
      <c r="H326" s="267">
        <f>H327</f>
        <v>1035.0999999999999</v>
      </c>
    </row>
    <row r="327" spans="1:8" ht="36" x14ac:dyDescent="0.35">
      <c r="A327" s="434"/>
      <c r="B327" s="696" t="s">
        <v>604</v>
      </c>
      <c r="C327" s="70" t="s">
        <v>221</v>
      </c>
      <c r="D327" s="71" t="s">
        <v>44</v>
      </c>
      <c r="E327" s="800" t="s">
        <v>50</v>
      </c>
      <c r="F327" s="801" t="s">
        <v>606</v>
      </c>
      <c r="G327" s="55"/>
      <c r="H327" s="267">
        <f>H328</f>
        <v>1035.0999999999999</v>
      </c>
    </row>
    <row r="328" spans="1:8" ht="90" x14ac:dyDescent="0.35">
      <c r="A328" s="434"/>
      <c r="B328" s="696" t="s">
        <v>48</v>
      </c>
      <c r="C328" s="70" t="s">
        <v>221</v>
      </c>
      <c r="D328" s="71" t="s">
        <v>44</v>
      </c>
      <c r="E328" s="800" t="s">
        <v>50</v>
      </c>
      <c r="F328" s="801" t="s">
        <v>606</v>
      </c>
      <c r="G328" s="55" t="s">
        <v>49</v>
      </c>
      <c r="H328" s="267">
        <f>'прил8 (ведом 24)'!M228</f>
        <v>1035.0999999999999</v>
      </c>
    </row>
    <row r="329" spans="1:8" ht="36" x14ac:dyDescent="0.35">
      <c r="A329" s="434"/>
      <c r="B329" s="607" t="s">
        <v>488</v>
      </c>
      <c r="C329" s="461" t="s">
        <v>221</v>
      </c>
      <c r="D329" s="462" t="s">
        <v>44</v>
      </c>
      <c r="E329" s="259" t="s">
        <v>63</v>
      </c>
      <c r="F329" s="260" t="s">
        <v>43</v>
      </c>
      <c r="G329" s="73"/>
      <c r="H329" s="267">
        <f>H330</f>
        <v>17.600000000000001</v>
      </c>
    </row>
    <row r="330" spans="1:8" ht="18" x14ac:dyDescent="0.35">
      <c r="A330" s="434"/>
      <c r="B330" s="607" t="s">
        <v>486</v>
      </c>
      <c r="C330" s="461" t="s">
        <v>221</v>
      </c>
      <c r="D330" s="462" t="s">
        <v>44</v>
      </c>
      <c r="E330" s="259" t="s">
        <v>63</v>
      </c>
      <c r="F330" s="260" t="s">
        <v>487</v>
      </c>
      <c r="G330" s="73"/>
      <c r="H330" s="267">
        <f>H331</f>
        <v>17.600000000000001</v>
      </c>
    </row>
    <row r="331" spans="1:8" ht="36" x14ac:dyDescent="0.35">
      <c r="A331" s="434"/>
      <c r="B331" s="607" t="s">
        <v>53</v>
      </c>
      <c r="C331" s="461" t="s">
        <v>221</v>
      </c>
      <c r="D331" s="462" t="s">
        <v>44</v>
      </c>
      <c r="E331" s="259" t="s">
        <v>63</v>
      </c>
      <c r="F331" s="260" t="s">
        <v>487</v>
      </c>
      <c r="G331" s="73" t="s">
        <v>54</v>
      </c>
      <c r="H331" s="267">
        <f>'прил8 (ведом 24)'!M240</f>
        <v>17.600000000000001</v>
      </c>
    </row>
    <row r="332" spans="1:8" ht="18" x14ac:dyDescent="0.35">
      <c r="A332" s="434"/>
      <c r="B332" s="606"/>
      <c r="C332" s="462"/>
      <c r="D332" s="462"/>
      <c r="E332" s="462"/>
      <c r="F332" s="463"/>
      <c r="G332" s="73"/>
      <c r="H332" s="267"/>
    </row>
    <row r="333" spans="1:8" s="444" customFormat="1" ht="52.2" x14ac:dyDescent="0.3">
      <c r="A333" s="440">
        <v>7</v>
      </c>
      <c r="B333" s="628" t="s">
        <v>222</v>
      </c>
      <c r="C333" s="464" t="s">
        <v>223</v>
      </c>
      <c r="D333" s="450" t="s">
        <v>41</v>
      </c>
      <c r="E333" s="450" t="s">
        <v>42</v>
      </c>
      <c r="F333" s="451" t="s">
        <v>43</v>
      </c>
      <c r="G333" s="465"/>
      <c r="H333" s="310">
        <f>H334+H343+H363</f>
        <v>32880.622999999992</v>
      </c>
    </row>
    <row r="334" spans="1:8" ht="36" x14ac:dyDescent="0.35">
      <c r="A334" s="459"/>
      <c r="B334" s="629" t="s">
        <v>224</v>
      </c>
      <c r="C334" s="507" t="s">
        <v>223</v>
      </c>
      <c r="D334" s="473" t="s">
        <v>44</v>
      </c>
      <c r="E334" s="473" t="s">
        <v>42</v>
      </c>
      <c r="F334" s="474" t="s">
        <v>43</v>
      </c>
      <c r="G334" s="795"/>
      <c r="H334" s="267">
        <f>H335+H340</f>
        <v>6327.5860000000002</v>
      </c>
    </row>
    <row r="335" spans="1:8" ht="72" x14ac:dyDescent="0.35">
      <c r="A335" s="459"/>
      <c r="B335" s="629" t="s">
        <v>311</v>
      </c>
      <c r="C335" s="486" t="s">
        <v>223</v>
      </c>
      <c r="D335" s="460" t="s">
        <v>44</v>
      </c>
      <c r="E335" s="460" t="s">
        <v>36</v>
      </c>
      <c r="F335" s="470" t="s">
        <v>43</v>
      </c>
      <c r="G335" s="471"/>
      <c r="H335" s="267">
        <f>H336+H338</f>
        <v>1592.5</v>
      </c>
    </row>
    <row r="336" spans="1:8" ht="54" x14ac:dyDescent="0.35">
      <c r="A336" s="459"/>
      <c r="B336" s="629" t="s">
        <v>225</v>
      </c>
      <c r="C336" s="486" t="s">
        <v>223</v>
      </c>
      <c r="D336" s="460" t="s">
        <v>44</v>
      </c>
      <c r="E336" s="460" t="s">
        <v>36</v>
      </c>
      <c r="F336" s="470" t="s">
        <v>312</v>
      </c>
      <c r="G336" s="471"/>
      <c r="H336" s="267">
        <f>H337</f>
        <v>800.7</v>
      </c>
    </row>
    <row r="337" spans="1:8" ht="36" x14ac:dyDescent="0.35">
      <c r="A337" s="459"/>
      <c r="B337" s="606" t="s">
        <v>53</v>
      </c>
      <c r="C337" s="486" t="s">
        <v>223</v>
      </c>
      <c r="D337" s="460" t="s">
        <v>44</v>
      </c>
      <c r="E337" s="460" t="s">
        <v>36</v>
      </c>
      <c r="F337" s="470" t="s">
        <v>312</v>
      </c>
      <c r="G337" s="471" t="s">
        <v>54</v>
      </c>
      <c r="H337" s="267">
        <f>'прил8 (ведом 24)'!M287</f>
        <v>800.7</v>
      </c>
    </row>
    <row r="338" spans="1:8" ht="25.5" customHeight="1" x14ac:dyDescent="0.35">
      <c r="A338" s="459"/>
      <c r="B338" s="630" t="s">
        <v>393</v>
      </c>
      <c r="C338" s="452" t="s">
        <v>223</v>
      </c>
      <c r="D338" s="460" t="s">
        <v>44</v>
      </c>
      <c r="E338" s="460" t="s">
        <v>36</v>
      </c>
      <c r="F338" s="470" t="s">
        <v>392</v>
      </c>
      <c r="G338" s="471"/>
      <c r="H338" s="267">
        <f>H339</f>
        <v>791.8</v>
      </c>
    </row>
    <row r="339" spans="1:8" ht="36" x14ac:dyDescent="0.35">
      <c r="A339" s="459"/>
      <c r="B339" s="607" t="s">
        <v>53</v>
      </c>
      <c r="C339" s="452" t="s">
        <v>223</v>
      </c>
      <c r="D339" s="460" t="s">
        <v>44</v>
      </c>
      <c r="E339" s="460" t="s">
        <v>36</v>
      </c>
      <c r="F339" s="470" t="s">
        <v>392</v>
      </c>
      <c r="G339" s="471" t="s">
        <v>54</v>
      </c>
      <c r="H339" s="267">
        <f>'прил8 (ведом 24)'!M331</f>
        <v>791.8</v>
      </c>
    </row>
    <row r="340" spans="1:8" ht="36" x14ac:dyDescent="0.35">
      <c r="A340" s="459"/>
      <c r="B340" s="606" t="s">
        <v>358</v>
      </c>
      <c r="C340" s="486" t="s">
        <v>223</v>
      </c>
      <c r="D340" s="460" t="s">
        <v>44</v>
      </c>
      <c r="E340" s="460" t="s">
        <v>38</v>
      </c>
      <c r="F340" s="470" t="s">
        <v>43</v>
      </c>
      <c r="G340" s="471"/>
      <c r="H340" s="267">
        <f>H341</f>
        <v>4735.0860000000002</v>
      </c>
    </row>
    <row r="341" spans="1:8" ht="36" x14ac:dyDescent="0.35">
      <c r="A341" s="459"/>
      <c r="B341" s="606" t="s">
        <v>357</v>
      </c>
      <c r="C341" s="486" t="s">
        <v>223</v>
      </c>
      <c r="D341" s="460" t="s">
        <v>44</v>
      </c>
      <c r="E341" s="460" t="s">
        <v>38</v>
      </c>
      <c r="F341" s="470" t="s">
        <v>356</v>
      </c>
      <c r="G341" s="471"/>
      <c r="H341" s="267">
        <f>SUM(H342:H342)</f>
        <v>4735.0860000000002</v>
      </c>
    </row>
    <row r="342" spans="1:8" ht="36" x14ac:dyDescent="0.35">
      <c r="A342" s="459"/>
      <c r="B342" s="606" t="s">
        <v>53</v>
      </c>
      <c r="C342" s="486" t="s">
        <v>223</v>
      </c>
      <c r="D342" s="460" t="s">
        <v>44</v>
      </c>
      <c r="E342" s="460" t="s">
        <v>38</v>
      </c>
      <c r="F342" s="470" t="s">
        <v>356</v>
      </c>
      <c r="G342" s="471" t="s">
        <v>54</v>
      </c>
      <c r="H342" s="267">
        <f>'прил8 (ведом 24)'!M290</f>
        <v>4735.0860000000002</v>
      </c>
    </row>
    <row r="343" spans="1:8" ht="36" x14ac:dyDescent="0.35">
      <c r="A343" s="459"/>
      <c r="B343" s="629" t="s">
        <v>226</v>
      </c>
      <c r="C343" s="452" t="s">
        <v>223</v>
      </c>
      <c r="D343" s="460" t="s">
        <v>87</v>
      </c>
      <c r="E343" s="460" t="s">
        <v>42</v>
      </c>
      <c r="F343" s="470" t="s">
        <v>43</v>
      </c>
      <c r="G343" s="471"/>
      <c r="H343" s="267">
        <f>H344+H357+H360</f>
        <v>21830.629999999997</v>
      </c>
    </row>
    <row r="344" spans="1:8" ht="72" x14ac:dyDescent="0.35">
      <c r="A344" s="459"/>
      <c r="B344" s="629" t="s">
        <v>315</v>
      </c>
      <c r="C344" s="452" t="s">
        <v>223</v>
      </c>
      <c r="D344" s="460" t="s">
        <v>87</v>
      </c>
      <c r="E344" s="460" t="s">
        <v>36</v>
      </c>
      <c r="F344" s="470" t="s">
        <v>43</v>
      </c>
      <c r="G344" s="471"/>
      <c r="H344" s="267">
        <f>H345+H349+H353+H355</f>
        <v>20871.629999999997</v>
      </c>
    </row>
    <row r="345" spans="1:8" ht="36" x14ac:dyDescent="0.35">
      <c r="A345" s="459"/>
      <c r="B345" s="629" t="s">
        <v>46</v>
      </c>
      <c r="C345" s="452" t="s">
        <v>223</v>
      </c>
      <c r="D345" s="460" t="s">
        <v>87</v>
      </c>
      <c r="E345" s="460" t="s">
        <v>36</v>
      </c>
      <c r="F345" s="470" t="s">
        <v>47</v>
      </c>
      <c r="G345" s="471"/>
      <c r="H345" s="267">
        <f>SUM(H346:H348)</f>
        <v>10992.5</v>
      </c>
    </row>
    <row r="346" spans="1:8" ht="90" x14ac:dyDescent="0.35">
      <c r="A346" s="459"/>
      <c r="B346" s="629" t="s">
        <v>48</v>
      </c>
      <c r="C346" s="452" t="s">
        <v>223</v>
      </c>
      <c r="D346" s="460" t="s">
        <v>87</v>
      </c>
      <c r="E346" s="460" t="s">
        <v>36</v>
      </c>
      <c r="F346" s="470" t="s">
        <v>47</v>
      </c>
      <c r="G346" s="471" t="s">
        <v>49</v>
      </c>
      <c r="H346" s="267">
        <f>'прил8 (ведом 24)'!M294</f>
        <v>10644.9</v>
      </c>
    </row>
    <row r="347" spans="1:8" ht="36" x14ac:dyDescent="0.35">
      <c r="A347" s="459"/>
      <c r="B347" s="606" t="s">
        <v>53</v>
      </c>
      <c r="C347" s="452" t="s">
        <v>223</v>
      </c>
      <c r="D347" s="460" t="s">
        <v>87</v>
      </c>
      <c r="E347" s="460" t="s">
        <v>36</v>
      </c>
      <c r="F347" s="470" t="s">
        <v>47</v>
      </c>
      <c r="G347" s="471" t="s">
        <v>54</v>
      </c>
      <c r="H347" s="267">
        <f>'прил8 (ведом 24)'!M295</f>
        <v>346.1</v>
      </c>
    </row>
    <row r="348" spans="1:8" ht="18" x14ac:dyDescent="0.35">
      <c r="A348" s="459"/>
      <c r="B348" s="629" t="s">
        <v>55</v>
      </c>
      <c r="C348" s="452" t="s">
        <v>223</v>
      </c>
      <c r="D348" s="460" t="s">
        <v>87</v>
      </c>
      <c r="E348" s="460" t="s">
        <v>36</v>
      </c>
      <c r="F348" s="470" t="s">
        <v>47</v>
      </c>
      <c r="G348" s="471" t="s">
        <v>56</v>
      </c>
      <c r="H348" s="267">
        <f>'прил8 (ведом 24)'!M296</f>
        <v>1.5</v>
      </c>
    </row>
    <row r="349" spans="1:8" ht="36" x14ac:dyDescent="0.35">
      <c r="A349" s="459"/>
      <c r="B349" s="606" t="s">
        <v>484</v>
      </c>
      <c r="C349" s="452" t="s">
        <v>223</v>
      </c>
      <c r="D349" s="460" t="s">
        <v>87</v>
      </c>
      <c r="E349" s="460" t="s">
        <v>36</v>
      </c>
      <c r="F349" s="470" t="s">
        <v>89</v>
      </c>
      <c r="G349" s="471"/>
      <c r="H349" s="267">
        <f>SUM(H350:H352)</f>
        <v>9445.0299999999988</v>
      </c>
    </row>
    <row r="350" spans="1:8" ht="90" x14ac:dyDescent="0.35">
      <c r="A350" s="459"/>
      <c r="B350" s="629" t="s">
        <v>48</v>
      </c>
      <c r="C350" s="452" t="s">
        <v>223</v>
      </c>
      <c r="D350" s="460" t="s">
        <v>87</v>
      </c>
      <c r="E350" s="460" t="s">
        <v>36</v>
      </c>
      <c r="F350" s="470" t="s">
        <v>89</v>
      </c>
      <c r="G350" s="471" t="s">
        <v>49</v>
      </c>
      <c r="H350" s="267">
        <f>'прил8 (ведом 24)'!M298</f>
        <v>8518.07</v>
      </c>
    </row>
    <row r="351" spans="1:8" ht="36" x14ac:dyDescent="0.35">
      <c r="A351" s="459"/>
      <c r="B351" s="606" t="s">
        <v>53</v>
      </c>
      <c r="C351" s="472" t="s">
        <v>223</v>
      </c>
      <c r="D351" s="473" t="s">
        <v>87</v>
      </c>
      <c r="E351" s="473" t="s">
        <v>36</v>
      </c>
      <c r="F351" s="474" t="s">
        <v>89</v>
      </c>
      <c r="G351" s="471" t="s">
        <v>54</v>
      </c>
      <c r="H351" s="267">
        <f>'прил8 (ведом 24)'!M299</f>
        <v>904.46</v>
      </c>
    </row>
    <row r="352" spans="1:8" ht="18" x14ac:dyDescent="0.35">
      <c r="A352" s="459"/>
      <c r="B352" s="629" t="s">
        <v>55</v>
      </c>
      <c r="C352" s="452" t="s">
        <v>223</v>
      </c>
      <c r="D352" s="460" t="s">
        <v>87</v>
      </c>
      <c r="E352" s="460" t="s">
        <v>36</v>
      </c>
      <c r="F352" s="470" t="s">
        <v>89</v>
      </c>
      <c r="G352" s="471" t="s">
        <v>56</v>
      </c>
      <c r="H352" s="267">
        <f>'прил8 (ведом 24)'!M300</f>
        <v>22.5</v>
      </c>
    </row>
    <row r="353" spans="1:8" ht="36" x14ac:dyDescent="0.35">
      <c r="A353" s="459"/>
      <c r="B353" s="607" t="s">
        <v>544</v>
      </c>
      <c r="C353" s="475" t="s">
        <v>223</v>
      </c>
      <c r="D353" s="446" t="s">
        <v>87</v>
      </c>
      <c r="E353" s="446" t="s">
        <v>36</v>
      </c>
      <c r="F353" s="469" t="s">
        <v>543</v>
      </c>
      <c r="G353" s="448"/>
      <c r="H353" s="267">
        <f>H354</f>
        <v>32.799999999999997</v>
      </c>
    </row>
    <row r="354" spans="1:8" ht="36" x14ac:dyDescent="0.35">
      <c r="A354" s="459"/>
      <c r="B354" s="607" t="s">
        <v>53</v>
      </c>
      <c r="C354" s="475" t="s">
        <v>223</v>
      </c>
      <c r="D354" s="446" t="s">
        <v>87</v>
      </c>
      <c r="E354" s="446" t="s">
        <v>36</v>
      </c>
      <c r="F354" s="469" t="s">
        <v>543</v>
      </c>
      <c r="G354" s="448" t="s">
        <v>54</v>
      </c>
      <c r="H354" s="267">
        <f>'прил8 (ведом 24)'!M365</f>
        <v>32.799999999999997</v>
      </c>
    </row>
    <row r="355" spans="1:8" ht="54" x14ac:dyDescent="0.35">
      <c r="A355" s="459"/>
      <c r="B355" s="607" t="s">
        <v>374</v>
      </c>
      <c r="C355" s="452" t="s">
        <v>223</v>
      </c>
      <c r="D355" s="460" t="s">
        <v>87</v>
      </c>
      <c r="E355" s="460" t="s">
        <v>36</v>
      </c>
      <c r="F355" s="470" t="s">
        <v>373</v>
      </c>
      <c r="G355" s="471"/>
      <c r="H355" s="267">
        <f>H356</f>
        <v>401.3</v>
      </c>
    </row>
    <row r="356" spans="1:8" ht="36" x14ac:dyDescent="0.35">
      <c r="A356" s="459"/>
      <c r="B356" s="607" t="s">
        <v>53</v>
      </c>
      <c r="C356" s="452" t="s">
        <v>223</v>
      </c>
      <c r="D356" s="460" t="s">
        <v>87</v>
      </c>
      <c r="E356" s="460" t="s">
        <v>36</v>
      </c>
      <c r="F356" s="470" t="s">
        <v>373</v>
      </c>
      <c r="G356" s="471" t="s">
        <v>54</v>
      </c>
      <c r="H356" s="267">
        <f>'прил8 (ведом 24)'!M302</f>
        <v>401.3</v>
      </c>
    </row>
    <row r="357" spans="1:8" ht="36" x14ac:dyDescent="0.35">
      <c r="A357" s="459"/>
      <c r="B357" s="631" t="s">
        <v>371</v>
      </c>
      <c r="C357" s="508" t="s">
        <v>223</v>
      </c>
      <c r="D357" s="509" t="s">
        <v>87</v>
      </c>
      <c r="E357" s="509" t="s">
        <v>38</v>
      </c>
      <c r="F357" s="510" t="s">
        <v>43</v>
      </c>
      <c r="G357" s="479"/>
      <c r="H357" s="511">
        <f>H358</f>
        <v>948.4</v>
      </c>
    </row>
    <row r="358" spans="1:8" ht="54" x14ac:dyDescent="0.35">
      <c r="A358" s="459"/>
      <c r="B358" s="632" t="s">
        <v>372</v>
      </c>
      <c r="C358" s="475" t="s">
        <v>223</v>
      </c>
      <c r="D358" s="477" t="s">
        <v>87</v>
      </c>
      <c r="E358" s="477" t="s">
        <v>38</v>
      </c>
      <c r="F358" s="478" t="s">
        <v>103</v>
      </c>
      <c r="G358" s="481"/>
      <c r="H358" s="267">
        <f>H359</f>
        <v>948.4</v>
      </c>
    </row>
    <row r="359" spans="1:8" ht="36" x14ac:dyDescent="0.35">
      <c r="A359" s="459"/>
      <c r="B359" s="633" t="s">
        <v>53</v>
      </c>
      <c r="C359" s="512" t="s">
        <v>223</v>
      </c>
      <c r="D359" s="477" t="s">
        <v>87</v>
      </c>
      <c r="E359" s="477" t="s">
        <v>38</v>
      </c>
      <c r="F359" s="478" t="s">
        <v>103</v>
      </c>
      <c r="G359" s="481" t="s">
        <v>54</v>
      </c>
      <c r="H359" s="267">
        <f>'прил8 (ведом 24)'!M305</f>
        <v>948.4</v>
      </c>
    </row>
    <row r="360" spans="1:8" ht="18" x14ac:dyDescent="0.35">
      <c r="A360" s="459"/>
      <c r="B360" s="629" t="s">
        <v>395</v>
      </c>
      <c r="C360" s="485" t="s">
        <v>223</v>
      </c>
      <c r="D360" s="482" t="s">
        <v>87</v>
      </c>
      <c r="E360" s="513" t="s">
        <v>61</v>
      </c>
      <c r="F360" s="514" t="s">
        <v>43</v>
      </c>
      <c r="G360" s="515"/>
      <c r="H360" s="267">
        <f>H361</f>
        <v>10.6</v>
      </c>
    </row>
    <row r="361" spans="1:8" ht="36" x14ac:dyDescent="0.35">
      <c r="A361" s="459"/>
      <c r="B361" s="629" t="s">
        <v>357</v>
      </c>
      <c r="C361" s="485" t="s">
        <v>223</v>
      </c>
      <c r="D361" s="482" t="s">
        <v>87</v>
      </c>
      <c r="E361" s="516" t="s">
        <v>61</v>
      </c>
      <c r="F361" s="517" t="s">
        <v>356</v>
      </c>
      <c r="G361" s="515"/>
      <c r="H361" s="267">
        <f>H362</f>
        <v>10.6</v>
      </c>
    </row>
    <row r="362" spans="1:8" ht="18" x14ac:dyDescent="0.35">
      <c r="A362" s="459"/>
      <c r="B362" s="630" t="s">
        <v>55</v>
      </c>
      <c r="C362" s="452" t="s">
        <v>223</v>
      </c>
      <c r="D362" s="513" t="s">
        <v>87</v>
      </c>
      <c r="E362" s="513" t="s">
        <v>61</v>
      </c>
      <c r="F362" s="514" t="s">
        <v>356</v>
      </c>
      <c r="G362" s="515" t="s">
        <v>56</v>
      </c>
      <c r="H362" s="267">
        <f>'прил8 (ведом 24)'!M308</f>
        <v>10.6</v>
      </c>
    </row>
    <row r="363" spans="1:8" ht="18" x14ac:dyDescent="0.35">
      <c r="A363" s="459"/>
      <c r="B363" s="634" t="s">
        <v>359</v>
      </c>
      <c r="C363" s="475" t="s">
        <v>223</v>
      </c>
      <c r="D363" s="477" t="s">
        <v>29</v>
      </c>
      <c r="E363" s="477" t="s">
        <v>42</v>
      </c>
      <c r="F363" s="478" t="s">
        <v>43</v>
      </c>
      <c r="G363" s="515"/>
      <c r="H363" s="267">
        <f>H364</f>
        <v>4722.4069999999992</v>
      </c>
    </row>
    <row r="364" spans="1:8" ht="18" x14ac:dyDescent="0.35">
      <c r="A364" s="459"/>
      <c r="B364" s="634" t="s">
        <v>395</v>
      </c>
      <c r="C364" s="475" t="s">
        <v>223</v>
      </c>
      <c r="D364" s="477" t="s">
        <v>29</v>
      </c>
      <c r="E364" s="477" t="s">
        <v>223</v>
      </c>
      <c r="F364" s="478" t="s">
        <v>43</v>
      </c>
      <c r="G364" s="515"/>
      <c r="H364" s="267">
        <f>H365</f>
        <v>4722.4069999999992</v>
      </c>
    </row>
    <row r="365" spans="1:8" ht="36" x14ac:dyDescent="0.35">
      <c r="A365" s="459"/>
      <c r="B365" s="635" t="s">
        <v>357</v>
      </c>
      <c r="C365" s="475" t="s">
        <v>223</v>
      </c>
      <c r="D365" s="477" t="s">
        <v>29</v>
      </c>
      <c r="E365" s="477" t="s">
        <v>223</v>
      </c>
      <c r="F365" s="478" t="s">
        <v>356</v>
      </c>
      <c r="G365" s="515"/>
      <c r="H365" s="267">
        <f>H367+H366</f>
        <v>4722.4069999999992</v>
      </c>
    </row>
    <row r="366" spans="1:8" ht="36" x14ac:dyDescent="0.35">
      <c r="A366" s="459"/>
      <c r="B366" s="667" t="s">
        <v>53</v>
      </c>
      <c r="C366" s="475" t="s">
        <v>223</v>
      </c>
      <c r="D366" s="477" t="s">
        <v>29</v>
      </c>
      <c r="E366" s="477" t="s">
        <v>223</v>
      </c>
      <c r="F366" s="478" t="s">
        <v>356</v>
      </c>
      <c r="G366" s="515" t="s">
        <v>54</v>
      </c>
      <c r="H366" s="267">
        <f>'прил8 (ведом 24)'!M312+'прил8 (ведом 24)'!M335</f>
        <v>4598.7069999999994</v>
      </c>
    </row>
    <row r="367" spans="1:8" ht="18" x14ac:dyDescent="0.35">
      <c r="A367" s="459"/>
      <c r="B367" s="636" t="s">
        <v>55</v>
      </c>
      <c r="C367" s="475" t="s">
        <v>223</v>
      </c>
      <c r="D367" s="477" t="s">
        <v>29</v>
      </c>
      <c r="E367" s="477" t="s">
        <v>223</v>
      </c>
      <c r="F367" s="478" t="s">
        <v>356</v>
      </c>
      <c r="G367" s="515" t="s">
        <v>56</v>
      </c>
      <c r="H367" s="267">
        <f>'прил8 (ведом 24)'!M313</f>
        <v>123.7</v>
      </c>
    </row>
    <row r="368" spans="1:8" ht="18" x14ac:dyDescent="0.35">
      <c r="A368" s="459"/>
      <c r="B368" s="613"/>
      <c r="C368" s="460"/>
      <c r="D368" s="793"/>
      <c r="E368" s="793"/>
      <c r="F368" s="794"/>
      <c r="G368" s="297"/>
      <c r="H368" s="267"/>
    </row>
    <row r="369" spans="1:8" s="444" customFormat="1" ht="52.2" x14ac:dyDescent="0.3">
      <c r="A369" s="449">
        <v>8</v>
      </c>
      <c r="B369" s="628" t="s">
        <v>309</v>
      </c>
      <c r="C369" s="450" t="s">
        <v>77</v>
      </c>
      <c r="D369" s="450" t="s">
        <v>41</v>
      </c>
      <c r="E369" s="450" t="s">
        <v>42</v>
      </c>
      <c r="F369" s="451" t="s">
        <v>43</v>
      </c>
      <c r="G369" s="443"/>
      <c r="H369" s="310">
        <f>H370</f>
        <v>154333.09999999998</v>
      </c>
    </row>
    <row r="370" spans="1:8" ht="18" x14ac:dyDescent="0.35">
      <c r="A370" s="434"/>
      <c r="B370" s="606" t="s">
        <v>359</v>
      </c>
      <c r="C370" s="486" t="s">
        <v>77</v>
      </c>
      <c r="D370" s="460" t="s">
        <v>44</v>
      </c>
      <c r="E370" s="460" t="s">
        <v>42</v>
      </c>
      <c r="F370" s="260" t="s">
        <v>43</v>
      </c>
      <c r="G370" s="297"/>
      <c r="H370" s="267">
        <f>H371+H386+H392+H402+H405</f>
        <v>154333.09999999998</v>
      </c>
    </row>
    <row r="371" spans="1:8" ht="36" x14ac:dyDescent="0.35">
      <c r="A371" s="434"/>
      <c r="B371" s="606" t="s">
        <v>299</v>
      </c>
      <c r="C371" s="258" t="s">
        <v>77</v>
      </c>
      <c r="D371" s="259" t="s">
        <v>44</v>
      </c>
      <c r="E371" s="259" t="s">
        <v>36</v>
      </c>
      <c r="F371" s="260" t="s">
        <v>43</v>
      </c>
      <c r="G371" s="297"/>
      <c r="H371" s="267">
        <f>H372+H375+H380+H383+H378</f>
        <v>64692.799999999996</v>
      </c>
    </row>
    <row r="372" spans="1:8" ht="126" x14ac:dyDescent="0.35">
      <c r="A372" s="434"/>
      <c r="B372" s="637" t="s">
        <v>377</v>
      </c>
      <c r="C372" s="258" t="s">
        <v>77</v>
      </c>
      <c r="D372" s="259" t="s">
        <v>44</v>
      </c>
      <c r="E372" s="259" t="s">
        <v>36</v>
      </c>
      <c r="F372" s="260" t="s">
        <v>548</v>
      </c>
      <c r="G372" s="73"/>
      <c r="H372" s="267">
        <f>SUM(H373:H374)</f>
        <v>37320.199999999997</v>
      </c>
    </row>
    <row r="373" spans="1:8" ht="36" x14ac:dyDescent="0.35">
      <c r="A373" s="434"/>
      <c r="B373" s="638" t="s">
        <v>53</v>
      </c>
      <c r="C373" s="258" t="s">
        <v>77</v>
      </c>
      <c r="D373" s="259" t="s">
        <v>44</v>
      </c>
      <c r="E373" s="259" t="s">
        <v>36</v>
      </c>
      <c r="F373" s="260" t="s">
        <v>548</v>
      </c>
      <c r="G373" s="73" t="s">
        <v>54</v>
      </c>
      <c r="H373" s="267">
        <f>'прил8 (ведом 24)'!M736</f>
        <v>185.7</v>
      </c>
    </row>
    <row r="374" spans="1:8" ht="18" x14ac:dyDescent="0.35">
      <c r="A374" s="434"/>
      <c r="B374" s="606" t="s">
        <v>118</v>
      </c>
      <c r="C374" s="258" t="s">
        <v>77</v>
      </c>
      <c r="D374" s="259" t="s">
        <v>44</v>
      </c>
      <c r="E374" s="259" t="s">
        <v>36</v>
      </c>
      <c r="F374" s="260" t="s">
        <v>548</v>
      </c>
      <c r="G374" s="73" t="s">
        <v>119</v>
      </c>
      <c r="H374" s="267">
        <f>'прил8 (ведом 24)'!M737</f>
        <v>37134.5</v>
      </c>
    </row>
    <row r="375" spans="1:8" ht="90" x14ac:dyDescent="0.35">
      <c r="A375" s="434"/>
      <c r="B375" s="606" t="s">
        <v>379</v>
      </c>
      <c r="C375" s="258" t="s">
        <v>77</v>
      </c>
      <c r="D375" s="259" t="s">
        <v>44</v>
      </c>
      <c r="E375" s="259" t="s">
        <v>36</v>
      </c>
      <c r="F375" s="260" t="s">
        <v>550</v>
      </c>
      <c r="G375" s="73"/>
      <c r="H375" s="267">
        <f>SUM(H376:H377)</f>
        <v>188.70000000000002</v>
      </c>
    </row>
    <row r="376" spans="1:8" ht="36" x14ac:dyDescent="0.35">
      <c r="A376" s="434"/>
      <c r="B376" s="606" t="s">
        <v>53</v>
      </c>
      <c r="C376" s="258" t="s">
        <v>77</v>
      </c>
      <c r="D376" s="259" t="s">
        <v>44</v>
      </c>
      <c r="E376" s="259" t="s">
        <v>36</v>
      </c>
      <c r="F376" s="260" t="s">
        <v>550</v>
      </c>
      <c r="G376" s="73" t="s">
        <v>54</v>
      </c>
      <c r="H376" s="267">
        <f>'прил8 (ведом 24)'!M739</f>
        <v>0.9</v>
      </c>
    </row>
    <row r="377" spans="1:8" ht="18" x14ac:dyDescent="0.35">
      <c r="A377" s="434"/>
      <c r="B377" s="606" t="s">
        <v>118</v>
      </c>
      <c r="C377" s="258" t="s">
        <v>77</v>
      </c>
      <c r="D377" s="259" t="s">
        <v>44</v>
      </c>
      <c r="E377" s="259" t="s">
        <v>36</v>
      </c>
      <c r="F377" s="260" t="s">
        <v>550</v>
      </c>
      <c r="G377" s="73" t="s">
        <v>119</v>
      </c>
      <c r="H377" s="267">
        <f>'прил8 (ведом 24)'!M740</f>
        <v>187.8</v>
      </c>
    </row>
    <row r="378" spans="1:8" ht="126" x14ac:dyDescent="0.35">
      <c r="A378" s="434"/>
      <c r="B378" s="610" t="s">
        <v>736</v>
      </c>
      <c r="C378" s="799" t="s">
        <v>77</v>
      </c>
      <c r="D378" s="800" t="s">
        <v>44</v>
      </c>
      <c r="E378" s="800" t="s">
        <v>36</v>
      </c>
      <c r="F378" s="801" t="s">
        <v>735</v>
      </c>
      <c r="G378" s="55"/>
      <c r="H378" s="267">
        <f>H379</f>
        <v>142.9</v>
      </c>
    </row>
    <row r="379" spans="1:8" ht="18" x14ac:dyDescent="0.35">
      <c r="A379" s="434"/>
      <c r="B379" s="610" t="s">
        <v>118</v>
      </c>
      <c r="C379" s="799" t="s">
        <v>77</v>
      </c>
      <c r="D379" s="800" t="s">
        <v>44</v>
      </c>
      <c r="E379" s="800" t="s">
        <v>36</v>
      </c>
      <c r="F379" s="801" t="s">
        <v>735</v>
      </c>
      <c r="G379" s="55" t="s">
        <v>119</v>
      </c>
      <c r="H379" s="267">
        <f>'прил8 (ведом 24)'!M742</f>
        <v>142.9</v>
      </c>
    </row>
    <row r="380" spans="1:8" ht="90" x14ac:dyDescent="0.35">
      <c r="A380" s="434"/>
      <c r="B380" s="606" t="s">
        <v>378</v>
      </c>
      <c r="C380" s="258" t="s">
        <v>77</v>
      </c>
      <c r="D380" s="259" t="s">
        <v>44</v>
      </c>
      <c r="E380" s="259" t="s">
        <v>36</v>
      </c>
      <c r="F380" s="260" t="s">
        <v>549</v>
      </c>
      <c r="G380" s="73"/>
      <c r="H380" s="267">
        <f>SUM(H381:H382)</f>
        <v>26856.5</v>
      </c>
    </row>
    <row r="381" spans="1:8" ht="36" x14ac:dyDescent="0.35">
      <c r="A381" s="434"/>
      <c r="B381" s="638" t="s">
        <v>53</v>
      </c>
      <c r="C381" s="258" t="s">
        <v>77</v>
      </c>
      <c r="D381" s="259" t="s">
        <v>44</v>
      </c>
      <c r="E381" s="259" t="s">
        <v>36</v>
      </c>
      <c r="F381" s="260" t="s">
        <v>549</v>
      </c>
      <c r="G381" s="73" t="s">
        <v>54</v>
      </c>
      <c r="H381" s="267">
        <f>'прил8 (ведом 24)'!M744</f>
        <v>134.30000000000001</v>
      </c>
    </row>
    <row r="382" spans="1:8" ht="18" x14ac:dyDescent="0.35">
      <c r="A382" s="434"/>
      <c r="B382" s="606" t="s">
        <v>118</v>
      </c>
      <c r="C382" s="258" t="s">
        <v>77</v>
      </c>
      <c r="D382" s="259" t="s">
        <v>44</v>
      </c>
      <c r="E382" s="259" t="s">
        <v>36</v>
      </c>
      <c r="F382" s="260" t="s">
        <v>549</v>
      </c>
      <c r="G382" s="73" t="s">
        <v>119</v>
      </c>
      <c r="H382" s="267">
        <f>'прил8 (ведом 24)'!M745</f>
        <v>26722.2</v>
      </c>
    </row>
    <row r="383" spans="1:8" ht="108" x14ac:dyDescent="0.35">
      <c r="A383" s="434"/>
      <c r="B383" s="606" t="s">
        <v>385</v>
      </c>
      <c r="C383" s="258" t="s">
        <v>77</v>
      </c>
      <c r="D383" s="259" t="s">
        <v>44</v>
      </c>
      <c r="E383" s="259" t="s">
        <v>36</v>
      </c>
      <c r="F383" s="260" t="s">
        <v>551</v>
      </c>
      <c r="G383" s="73"/>
      <c r="H383" s="267">
        <f>SUM(H384:H385)</f>
        <v>184.5</v>
      </c>
    </row>
    <row r="384" spans="1:8" ht="36" x14ac:dyDescent="0.35">
      <c r="A384" s="434"/>
      <c r="B384" s="606" t="s">
        <v>53</v>
      </c>
      <c r="C384" s="258" t="s">
        <v>77</v>
      </c>
      <c r="D384" s="259" t="s">
        <v>44</v>
      </c>
      <c r="E384" s="259" t="s">
        <v>36</v>
      </c>
      <c r="F384" s="260" t="s">
        <v>551</v>
      </c>
      <c r="G384" s="73" t="s">
        <v>54</v>
      </c>
      <c r="H384" s="267">
        <f>'прил8 (ведом 24)'!M747</f>
        <v>0.9</v>
      </c>
    </row>
    <row r="385" spans="1:8" ht="18" x14ac:dyDescent="0.35">
      <c r="A385" s="434"/>
      <c r="B385" s="606" t="s">
        <v>118</v>
      </c>
      <c r="C385" s="258" t="s">
        <v>77</v>
      </c>
      <c r="D385" s="259" t="s">
        <v>44</v>
      </c>
      <c r="E385" s="259" t="s">
        <v>36</v>
      </c>
      <c r="F385" s="260" t="s">
        <v>551</v>
      </c>
      <c r="G385" s="73" t="s">
        <v>119</v>
      </c>
      <c r="H385" s="267">
        <f>'прил8 (ведом 24)'!M748</f>
        <v>183.6</v>
      </c>
    </row>
    <row r="386" spans="1:8" ht="72" x14ac:dyDescent="0.35">
      <c r="A386" s="434"/>
      <c r="B386" s="663" t="s">
        <v>314</v>
      </c>
      <c r="C386" s="149" t="s">
        <v>77</v>
      </c>
      <c r="D386" s="150" t="s">
        <v>44</v>
      </c>
      <c r="E386" s="150" t="s">
        <v>38</v>
      </c>
      <c r="F386" s="150" t="s">
        <v>43</v>
      </c>
      <c r="G386" s="73"/>
      <c r="H386" s="267">
        <f>H387+H390</f>
        <v>76001</v>
      </c>
    </row>
    <row r="387" spans="1:8" ht="90" x14ac:dyDescent="0.35">
      <c r="A387" s="434"/>
      <c r="B387" s="636" t="s">
        <v>756</v>
      </c>
      <c r="C387" s="518" t="s">
        <v>77</v>
      </c>
      <c r="D387" s="519" t="s">
        <v>44</v>
      </c>
      <c r="E387" s="519" t="s">
        <v>38</v>
      </c>
      <c r="F387" s="520" t="s">
        <v>665</v>
      </c>
      <c r="G387" s="521"/>
      <c r="H387" s="267">
        <f>SUM(H388:H389)</f>
        <v>70376.7</v>
      </c>
    </row>
    <row r="388" spans="1:8" ht="36" x14ac:dyDescent="0.35">
      <c r="A388" s="434"/>
      <c r="B388" s="606" t="s">
        <v>53</v>
      </c>
      <c r="C388" s="518" t="s">
        <v>77</v>
      </c>
      <c r="D388" s="519" t="s">
        <v>44</v>
      </c>
      <c r="E388" s="519" t="s">
        <v>38</v>
      </c>
      <c r="F388" s="520" t="s">
        <v>665</v>
      </c>
      <c r="G388" s="521" t="s">
        <v>54</v>
      </c>
      <c r="H388" s="267">
        <f>'прил8 (ведом 24)'!M318</f>
        <v>73.421899999999994</v>
      </c>
    </row>
    <row r="389" spans="1:8" ht="36" x14ac:dyDescent="0.35">
      <c r="A389" s="434"/>
      <c r="B389" s="616" t="s">
        <v>201</v>
      </c>
      <c r="C389" s="184" t="s">
        <v>77</v>
      </c>
      <c r="D389" s="185" t="s">
        <v>44</v>
      </c>
      <c r="E389" s="185" t="s">
        <v>38</v>
      </c>
      <c r="F389" s="585" t="s">
        <v>665</v>
      </c>
      <c r="G389" s="586" t="s">
        <v>202</v>
      </c>
      <c r="H389" s="267">
        <f>'прил8 (ведом 24)'!M372</f>
        <v>70303.278099999996</v>
      </c>
    </row>
    <row r="390" spans="1:8" ht="90" x14ac:dyDescent="0.35">
      <c r="A390" s="434"/>
      <c r="B390" s="653" t="s">
        <v>756</v>
      </c>
      <c r="C390" s="131" t="s">
        <v>77</v>
      </c>
      <c r="D390" s="132" t="s">
        <v>44</v>
      </c>
      <c r="E390" s="132" t="s">
        <v>38</v>
      </c>
      <c r="F390" s="153" t="s">
        <v>562</v>
      </c>
      <c r="G390" s="181"/>
      <c r="H390" s="267">
        <f>H391</f>
        <v>5624.3</v>
      </c>
    </row>
    <row r="391" spans="1:8" ht="36" x14ac:dyDescent="0.35">
      <c r="A391" s="434"/>
      <c r="B391" s="667" t="s">
        <v>201</v>
      </c>
      <c r="C391" s="131" t="s">
        <v>77</v>
      </c>
      <c r="D391" s="132" t="s">
        <v>44</v>
      </c>
      <c r="E391" s="132" t="s">
        <v>38</v>
      </c>
      <c r="F391" s="153" t="s">
        <v>562</v>
      </c>
      <c r="G391" s="729" t="s">
        <v>202</v>
      </c>
      <c r="H391" s="267">
        <f>'прил8 (ведом 24)'!M374</f>
        <v>5624.3</v>
      </c>
    </row>
    <row r="392" spans="1:8" ht="36" x14ac:dyDescent="0.35">
      <c r="A392" s="434"/>
      <c r="B392" s="606" t="s">
        <v>226</v>
      </c>
      <c r="C392" s="258" t="s">
        <v>77</v>
      </c>
      <c r="D392" s="259" t="s">
        <v>44</v>
      </c>
      <c r="E392" s="259" t="s">
        <v>61</v>
      </c>
      <c r="F392" s="260" t="s">
        <v>43</v>
      </c>
      <c r="G392" s="73"/>
      <c r="H392" s="267">
        <f>H393+H396+H399</f>
        <v>9013.2999999999993</v>
      </c>
    </row>
    <row r="393" spans="1:8" ht="234" x14ac:dyDescent="0.35">
      <c r="A393" s="434"/>
      <c r="B393" s="606" t="s">
        <v>229</v>
      </c>
      <c r="C393" s="258" t="s">
        <v>77</v>
      </c>
      <c r="D393" s="259" t="s">
        <v>44</v>
      </c>
      <c r="E393" s="259" t="s">
        <v>61</v>
      </c>
      <c r="F393" s="260" t="s">
        <v>552</v>
      </c>
      <c r="G393" s="73"/>
      <c r="H393" s="267">
        <f>SUM(H394:H395)</f>
        <v>1025.8</v>
      </c>
    </row>
    <row r="394" spans="1:8" ht="90" x14ac:dyDescent="0.35">
      <c r="A394" s="434"/>
      <c r="B394" s="606" t="s">
        <v>48</v>
      </c>
      <c r="C394" s="258" t="s">
        <v>77</v>
      </c>
      <c r="D394" s="259" t="s">
        <v>44</v>
      </c>
      <c r="E394" s="259" t="s">
        <v>61</v>
      </c>
      <c r="F394" s="260" t="s">
        <v>552</v>
      </c>
      <c r="G394" s="73" t="s">
        <v>49</v>
      </c>
      <c r="H394" s="267">
        <f>'прил8 (ведом 24)'!M754</f>
        <v>863.8</v>
      </c>
    </row>
    <row r="395" spans="1:8" ht="36" x14ac:dyDescent="0.35">
      <c r="A395" s="434"/>
      <c r="B395" s="606" t="s">
        <v>53</v>
      </c>
      <c r="C395" s="258" t="s">
        <v>77</v>
      </c>
      <c r="D395" s="259" t="s">
        <v>44</v>
      </c>
      <c r="E395" s="259" t="s">
        <v>61</v>
      </c>
      <c r="F395" s="260" t="s">
        <v>552</v>
      </c>
      <c r="G395" s="73" t="s">
        <v>54</v>
      </c>
      <c r="H395" s="267">
        <f>'прил8 (ведом 24)'!M755</f>
        <v>162</v>
      </c>
    </row>
    <row r="396" spans="1:8" ht="90" x14ac:dyDescent="0.35">
      <c r="A396" s="434"/>
      <c r="B396" s="604" t="s">
        <v>479</v>
      </c>
      <c r="C396" s="258" t="s">
        <v>77</v>
      </c>
      <c r="D396" s="259" t="s">
        <v>44</v>
      </c>
      <c r="E396" s="259" t="s">
        <v>61</v>
      </c>
      <c r="F396" s="260" t="s">
        <v>546</v>
      </c>
      <c r="G396" s="73"/>
      <c r="H396" s="267">
        <f>SUM(H397:H398)</f>
        <v>756</v>
      </c>
    </row>
    <row r="397" spans="1:8" ht="90" x14ac:dyDescent="0.35">
      <c r="A397" s="434"/>
      <c r="B397" s="606" t="s">
        <v>48</v>
      </c>
      <c r="C397" s="258" t="s">
        <v>77</v>
      </c>
      <c r="D397" s="259" t="s">
        <v>44</v>
      </c>
      <c r="E397" s="259" t="s">
        <v>61</v>
      </c>
      <c r="F397" s="260" t="s">
        <v>546</v>
      </c>
      <c r="G397" s="73" t="s">
        <v>49</v>
      </c>
      <c r="H397" s="267">
        <f>'прил8 (ведом 24)'!M757</f>
        <v>675</v>
      </c>
    </row>
    <row r="398" spans="1:8" ht="36" x14ac:dyDescent="0.35">
      <c r="A398" s="434"/>
      <c r="B398" s="606" t="s">
        <v>53</v>
      </c>
      <c r="C398" s="258" t="s">
        <v>77</v>
      </c>
      <c r="D398" s="259" t="s">
        <v>44</v>
      </c>
      <c r="E398" s="259" t="s">
        <v>61</v>
      </c>
      <c r="F398" s="260" t="s">
        <v>546</v>
      </c>
      <c r="G398" s="73" t="s">
        <v>54</v>
      </c>
      <c r="H398" s="267">
        <f>'прил8 (ведом 24)'!M758</f>
        <v>81</v>
      </c>
    </row>
    <row r="399" spans="1:8" ht="72" x14ac:dyDescent="0.35">
      <c r="A399" s="434"/>
      <c r="B399" s="606" t="s">
        <v>228</v>
      </c>
      <c r="C399" s="258" t="s">
        <v>77</v>
      </c>
      <c r="D399" s="259" t="s">
        <v>44</v>
      </c>
      <c r="E399" s="259" t="s">
        <v>61</v>
      </c>
      <c r="F399" s="260" t="s">
        <v>547</v>
      </c>
      <c r="G399" s="73"/>
      <c r="H399" s="267">
        <f>H400+H401</f>
        <v>7231.5</v>
      </c>
    </row>
    <row r="400" spans="1:8" ht="90" x14ac:dyDescent="0.35">
      <c r="A400" s="434"/>
      <c r="B400" s="606" t="s">
        <v>48</v>
      </c>
      <c r="C400" s="258" t="s">
        <v>77</v>
      </c>
      <c r="D400" s="259" t="s">
        <v>44</v>
      </c>
      <c r="E400" s="259" t="s">
        <v>61</v>
      </c>
      <c r="F400" s="260" t="s">
        <v>547</v>
      </c>
      <c r="G400" s="73" t="s">
        <v>49</v>
      </c>
      <c r="H400" s="267">
        <f>'прил8 (ведом 24)'!M760</f>
        <v>6502.5</v>
      </c>
    </row>
    <row r="401" spans="1:8" ht="36" x14ac:dyDescent="0.35">
      <c r="A401" s="434"/>
      <c r="B401" s="606" t="s">
        <v>53</v>
      </c>
      <c r="C401" s="531" t="s">
        <v>77</v>
      </c>
      <c r="D401" s="532" t="s">
        <v>44</v>
      </c>
      <c r="E401" s="532" t="s">
        <v>61</v>
      </c>
      <c r="F401" s="533" t="s">
        <v>547</v>
      </c>
      <c r="G401" s="73" t="s">
        <v>54</v>
      </c>
      <c r="H401" s="267">
        <f>'прил8 (ведом 24)'!M761</f>
        <v>729</v>
      </c>
    </row>
    <row r="402" spans="1:8" ht="72" x14ac:dyDescent="0.35">
      <c r="A402" s="459"/>
      <c r="B402" s="622" t="s">
        <v>468</v>
      </c>
      <c r="C402" s="258" t="s">
        <v>77</v>
      </c>
      <c r="D402" s="259" t="s">
        <v>44</v>
      </c>
      <c r="E402" s="259" t="s">
        <v>50</v>
      </c>
      <c r="F402" s="260" t="s">
        <v>43</v>
      </c>
      <c r="G402" s="73"/>
      <c r="H402" s="267">
        <f>H403</f>
        <v>1846.5</v>
      </c>
    </row>
    <row r="403" spans="1:8" ht="72" x14ac:dyDescent="0.35">
      <c r="A403" s="459"/>
      <c r="B403" s="622" t="s">
        <v>464</v>
      </c>
      <c r="C403" s="258" t="s">
        <v>77</v>
      </c>
      <c r="D403" s="259" t="s">
        <v>44</v>
      </c>
      <c r="E403" s="259" t="s">
        <v>50</v>
      </c>
      <c r="F403" s="260" t="s">
        <v>376</v>
      </c>
      <c r="G403" s="73"/>
      <c r="H403" s="267">
        <f>H404</f>
        <v>1846.5</v>
      </c>
    </row>
    <row r="404" spans="1:8" ht="18" x14ac:dyDescent="0.35">
      <c r="A404" s="459"/>
      <c r="B404" s="609" t="s">
        <v>118</v>
      </c>
      <c r="C404" s="258" t="s">
        <v>77</v>
      </c>
      <c r="D404" s="259" t="s">
        <v>44</v>
      </c>
      <c r="E404" s="259" t="s">
        <v>50</v>
      </c>
      <c r="F404" s="260" t="s">
        <v>376</v>
      </c>
      <c r="G404" s="73" t="s">
        <v>119</v>
      </c>
      <c r="H404" s="267">
        <f>'прил8 (ведом 24)'!M184</f>
        <v>1846.5</v>
      </c>
    </row>
    <row r="405" spans="1:8" ht="36" x14ac:dyDescent="0.35">
      <c r="A405" s="459"/>
      <c r="B405" s="615" t="s">
        <v>747</v>
      </c>
      <c r="C405" s="799" t="s">
        <v>77</v>
      </c>
      <c r="D405" s="800" t="s">
        <v>44</v>
      </c>
      <c r="E405" s="800" t="s">
        <v>223</v>
      </c>
      <c r="F405" s="801" t="s">
        <v>43</v>
      </c>
      <c r="G405" s="55"/>
      <c r="H405" s="267">
        <f>H406</f>
        <v>2779.5</v>
      </c>
    </row>
    <row r="406" spans="1:8" ht="36" x14ac:dyDescent="0.35">
      <c r="A406" s="459"/>
      <c r="B406" s="615" t="s">
        <v>748</v>
      </c>
      <c r="C406" s="799" t="s">
        <v>77</v>
      </c>
      <c r="D406" s="800" t="s">
        <v>44</v>
      </c>
      <c r="E406" s="800" t="s">
        <v>223</v>
      </c>
      <c r="F406" s="801" t="s">
        <v>749</v>
      </c>
      <c r="G406" s="55"/>
      <c r="H406" s="267">
        <f>H407</f>
        <v>2779.5</v>
      </c>
    </row>
    <row r="407" spans="1:8" ht="18" x14ac:dyDescent="0.35">
      <c r="A407" s="459"/>
      <c r="B407" s="609" t="s">
        <v>118</v>
      </c>
      <c r="C407" s="799" t="s">
        <v>77</v>
      </c>
      <c r="D407" s="800" t="s">
        <v>44</v>
      </c>
      <c r="E407" s="800" t="s">
        <v>223</v>
      </c>
      <c r="F407" s="801" t="s">
        <v>749</v>
      </c>
      <c r="G407" s="55" t="s">
        <v>119</v>
      </c>
      <c r="H407" s="267">
        <f>'прил8 (ведом 24)'!M190</f>
        <v>2779.5</v>
      </c>
    </row>
    <row r="408" spans="1:8" ht="18" x14ac:dyDescent="0.35">
      <c r="A408" s="459"/>
      <c r="B408" s="609"/>
      <c r="C408" s="259"/>
      <c r="D408" s="259"/>
      <c r="E408" s="259"/>
      <c r="F408" s="260"/>
      <c r="G408" s="73"/>
      <c r="H408" s="267"/>
    </row>
    <row r="409" spans="1:8" ht="69.599999999999994" x14ac:dyDescent="0.3">
      <c r="A409" s="449">
        <v>9</v>
      </c>
      <c r="B409" s="618" t="s">
        <v>352</v>
      </c>
      <c r="C409" s="450" t="s">
        <v>102</v>
      </c>
      <c r="D409" s="450" t="s">
        <v>41</v>
      </c>
      <c r="E409" s="450" t="s">
        <v>42</v>
      </c>
      <c r="F409" s="451" t="s">
        <v>43</v>
      </c>
      <c r="G409" s="492"/>
      <c r="H409" s="310">
        <f>H410+H414+H418</f>
        <v>103330.1</v>
      </c>
    </row>
    <row r="410" spans="1:8" ht="36" x14ac:dyDescent="0.35">
      <c r="A410" s="449"/>
      <c r="B410" s="606" t="s">
        <v>354</v>
      </c>
      <c r="C410" s="258" t="s">
        <v>102</v>
      </c>
      <c r="D410" s="259" t="s">
        <v>44</v>
      </c>
      <c r="E410" s="259" t="s">
        <v>42</v>
      </c>
      <c r="F410" s="260" t="s">
        <v>43</v>
      </c>
      <c r="G410" s="73"/>
      <c r="H410" s="267">
        <f>H411</f>
        <v>97055</v>
      </c>
    </row>
    <row r="411" spans="1:8" ht="54" x14ac:dyDescent="0.35">
      <c r="A411" s="449"/>
      <c r="B411" s="607" t="s">
        <v>394</v>
      </c>
      <c r="C411" s="258" t="s">
        <v>102</v>
      </c>
      <c r="D411" s="259" t="s">
        <v>44</v>
      </c>
      <c r="E411" s="259" t="s">
        <v>36</v>
      </c>
      <c r="F411" s="260" t="s">
        <v>43</v>
      </c>
      <c r="G411" s="73"/>
      <c r="H411" s="267">
        <f>H412</f>
        <v>97055</v>
      </c>
    </row>
    <row r="412" spans="1:8" ht="54" x14ac:dyDescent="0.35">
      <c r="A412" s="449"/>
      <c r="B412" s="639" t="s">
        <v>512</v>
      </c>
      <c r="C412" s="445" t="s">
        <v>102</v>
      </c>
      <c r="D412" s="446" t="s">
        <v>44</v>
      </c>
      <c r="E412" s="446" t="s">
        <v>36</v>
      </c>
      <c r="F412" s="447" t="s">
        <v>435</v>
      </c>
      <c r="G412" s="523"/>
      <c r="H412" s="267">
        <f>SUM(H413:H413)</f>
        <v>97055</v>
      </c>
    </row>
    <row r="413" spans="1:8" ht="36" x14ac:dyDescent="0.35">
      <c r="A413" s="522"/>
      <c r="B413" s="640" t="s">
        <v>201</v>
      </c>
      <c r="C413" s="466" t="s">
        <v>102</v>
      </c>
      <c r="D413" s="467" t="s">
        <v>44</v>
      </c>
      <c r="E413" s="467" t="s">
        <v>36</v>
      </c>
      <c r="F413" s="590" t="s">
        <v>435</v>
      </c>
      <c r="G413" s="525" t="s">
        <v>202</v>
      </c>
      <c r="H413" s="524">
        <f>'прил8 (ведом 24)'!M342</f>
        <v>97055</v>
      </c>
    </row>
    <row r="414" spans="1:8" ht="54" x14ac:dyDescent="0.35">
      <c r="A414" s="522"/>
      <c r="B414" s="696" t="s">
        <v>587</v>
      </c>
      <c r="C414" s="799" t="s">
        <v>102</v>
      </c>
      <c r="D414" s="800" t="s">
        <v>33</v>
      </c>
      <c r="E414" s="800" t="s">
        <v>42</v>
      </c>
      <c r="F414" s="801" t="s">
        <v>43</v>
      </c>
      <c r="G414" s="55"/>
      <c r="H414" s="524">
        <f>H415</f>
        <v>6131.1</v>
      </c>
    </row>
    <row r="415" spans="1:8" ht="36" x14ac:dyDescent="0.35">
      <c r="A415" s="522"/>
      <c r="B415" s="696" t="s">
        <v>588</v>
      </c>
      <c r="C415" s="799" t="s">
        <v>102</v>
      </c>
      <c r="D415" s="800" t="s">
        <v>33</v>
      </c>
      <c r="E415" s="800" t="s">
        <v>36</v>
      </c>
      <c r="F415" s="801" t="s">
        <v>43</v>
      </c>
      <c r="G415" s="55"/>
      <c r="H415" s="524">
        <f>H416</f>
        <v>6131.1</v>
      </c>
    </row>
    <row r="416" spans="1:8" ht="36" x14ac:dyDescent="0.35">
      <c r="A416" s="522"/>
      <c r="B416" s="696" t="s">
        <v>589</v>
      </c>
      <c r="C416" s="799" t="s">
        <v>102</v>
      </c>
      <c r="D416" s="800" t="s">
        <v>33</v>
      </c>
      <c r="E416" s="800" t="s">
        <v>36</v>
      </c>
      <c r="F416" s="801" t="s">
        <v>590</v>
      </c>
      <c r="G416" s="55"/>
      <c r="H416" s="524">
        <f>H417</f>
        <v>6131.1</v>
      </c>
    </row>
    <row r="417" spans="1:8" ht="36" x14ac:dyDescent="0.35">
      <c r="A417" s="522"/>
      <c r="B417" s="696" t="s">
        <v>53</v>
      </c>
      <c r="C417" s="799" t="s">
        <v>102</v>
      </c>
      <c r="D417" s="800" t="s">
        <v>33</v>
      </c>
      <c r="E417" s="800" t="s">
        <v>36</v>
      </c>
      <c r="F417" s="801" t="s">
        <v>590</v>
      </c>
      <c r="G417" s="55" t="s">
        <v>54</v>
      </c>
      <c r="H417" s="524">
        <f>'прил8 (ведом 24)'!M167</f>
        <v>6131.1</v>
      </c>
    </row>
    <row r="418" spans="1:8" ht="36" x14ac:dyDescent="0.35">
      <c r="A418" s="522"/>
      <c r="B418" s="784" t="s">
        <v>752</v>
      </c>
      <c r="C418" s="799" t="s">
        <v>102</v>
      </c>
      <c r="D418" s="800" t="s">
        <v>694</v>
      </c>
      <c r="E418" s="800" t="s">
        <v>42</v>
      </c>
      <c r="F418" s="801" t="s">
        <v>43</v>
      </c>
      <c r="G418" s="525"/>
      <c r="H418" s="524">
        <f>H419</f>
        <v>144</v>
      </c>
    </row>
    <row r="419" spans="1:8" ht="36" x14ac:dyDescent="0.35">
      <c r="A419" s="522"/>
      <c r="B419" s="696" t="s">
        <v>753</v>
      </c>
      <c r="C419" s="799" t="s">
        <v>102</v>
      </c>
      <c r="D419" s="800" t="s">
        <v>694</v>
      </c>
      <c r="E419" s="800" t="s">
        <v>36</v>
      </c>
      <c r="F419" s="801" t="s">
        <v>43</v>
      </c>
      <c r="G419" s="55"/>
      <c r="H419" s="524">
        <f>H420</f>
        <v>144</v>
      </c>
    </row>
    <row r="420" spans="1:8" ht="54" x14ac:dyDescent="0.35">
      <c r="A420" s="522"/>
      <c r="B420" s="696" t="s">
        <v>754</v>
      </c>
      <c r="C420" s="799" t="s">
        <v>102</v>
      </c>
      <c r="D420" s="800" t="s">
        <v>694</v>
      </c>
      <c r="E420" s="800" t="s">
        <v>36</v>
      </c>
      <c r="F420" s="801" t="s">
        <v>755</v>
      </c>
      <c r="G420" s="55"/>
      <c r="H420" s="524">
        <f>H421</f>
        <v>144</v>
      </c>
    </row>
    <row r="421" spans="1:8" ht="36" x14ac:dyDescent="0.35">
      <c r="A421" s="522"/>
      <c r="B421" s="696" t="s">
        <v>53</v>
      </c>
      <c r="C421" s="799" t="s">
        <v>102</v>
      </c>
      <c r="D421" s="800" t="s">
        <v>694</v>
      </c>
      <c r="E421" s="800" t="s">
        <v>36</v>
      </c>
      <c r="F421" s="801" t="s">
        <v>755</v>
      </c>
      <c r="G421" s="55" t="s">
        <v>54</v>
      </c>
      <c r="H421" s="524">
        <v>144</v>
      </c>
    </row>
    <row r="422" spans="1:8" ht="18" x14ac:dyDescent="0.35">
      <c r="A422" s="522"/>
      <c r="B422" s="607"/>
      <c r="C422" s="259"/>
      <c r="D422" s="259"/>
      <c r="E422" s="259"/>
      <c r="F422" s="260"/>
      <c r="G422" s="73"/>
      <c r="H422" s="524"/>
    </row>
    <row r="423" spans="1:8" s="444" customFormat="1" ht="52.2" x14ac:dyDescent="0.3">
      <c r="A423" s="449">
        <v>10</v>
      </c>
      <c r="B423" s="618" t="s">
        <v>92</v>
      </c>
      <c r="C423" s="450" t="s">
        <v>65</v>
      </c>
      <c r="D423" s="450" t="s">
        <v>41</v>
      </c>
      <c r="E423" s="450" t="s">
        <v>42</v>
      </c>
      <c r="F423" s="451" t="s">
        <v>43</v>
      </c>
      <c r="G423" s="492"/>
      <c r="H423" s="310">
        <f>H424</f>
        <v>24038.799999999999</v>
      </c>
    </row>
    <row r="424" spans="1:8" ht="18" x14ac:dyDescent="0.35">
      <c r="A424" s="434"/>
      <c r="B424" s="606" t="s">
        <v>359</v>
      </c>
      <c r="C424" s="258" t="s">
        <v>65</v>
      </c>
      <c r="D424" s="259" t="s">
        <v>44</v>
      </c>
      <c r="E424" s="259" t="s">
        <v>42</v>
      </c>
      <c r="F424" s="260" t="s">
        <v>43</v>
      </c>
      <c r="G424" s="455"/>
      <c r="H424" s="267">
        <f>H425+H428</f>
        <v>24038.799999999999</v>
      </c>
    </row>
    <row r="425" spans="1:8" ht="36" x14ac:dyDescent="0.35">
      <c r="A425" s="434"/>
      <c r="B425" s="606" t="s">
        <v>93</v>
      </c>
      <c r="C425" s="258" t="s">
        <v>65</v>
      </c>
      <c r="D425" s="259" t="s">
        <v>44</v>
      </c>
      <c r="E425" s="259" t="s">
        <v>36</v>
      </c>
      <c r="F425" s="260" t="s">
        <v>43</v>
      </c>
      <c r="G425" s="455"/>
      <c r="H425" s="267">
        <f>H426</f>
        <v>20740</v>
      </c>
    </row>
    <row r="426" spans="1:8" ht="54" x14ac:dyDescent="0.35">
      <c r="A426" s="434"/>
      <c r="B426" s="641" t="s">
        <v>430</v>
      </c>
      <c r="C426" s="258" t="s">
        <v>65</v>
      </c>
      <c r="D426" s="259" t="s">
        <v>44</v>
      </c>
      <c r="E426" s="259" t="s">
        <v>36</v>
      </c>
      <c r="F426" s="260" t="s">
        <v>59</v>
      </c>
      <c r="G426" s="73"/>
      <c r="H426" s="267">
        <f>H427</f>
        <v>20740</v>
      </c>
    </row>
    <row r="427" spans="1:8" ht="18" x14ac:dyDescent="0.35">
      <c r="A427" s="434"/>
      <c r="B427" s="606" t="s">
        <v>55</v>
      </c>
      <c r="C427" s="258" t="s">
        <v>65</v>
      </c>
      <c r="D427" s="259" t="s">
        <v>44</v>
      </c>
      <c r="E427" s="259" t="s">
        <v>36</v>
      </c>
      <c r="F427" s="260" t="s">
        <v>59</v>
      </c>
      <c r="G427" s="73" t="s">
        <v>56</v>
      </c>
      <c r="H427" s="267">
        <f>'прил8 (ведом 24)'!M131</f>
        <v>20740</v>
      </c>
    </row>
    <row r="428" spans="1:8" ht="54" x14ac:dyDescent="0.35">
      <c r="A428" s="434"/>
      <c r="B428" s="606" t="s">
        <v>94</v>
      </c>
      <c r="C428" s="258" t="s">
        <v>65</v>
      </c>
      <c r="D428" s="259" t="s">
        <v>44</v>
      </c>
      <c r="E428" s="259" t="s">
        <v>38</v>
      </c>
      <c r="F428" s="260" t="s">
        <v>43</v>
      </c>
      <c r="G428" s="73"/>
      <c r="H428" s="267">
        <f>H429</f>
        <v>3298.8</v>
      </c>
    </row>
    <row r="429" spans="1:8" ht="162" x14ac:dyDescent="0.35">
      <c r="A429" s="434"/>
      <c r="B429" s="607" t="s">
        <v>540</v>
      </c>
      <c r="C429" s="258" t="s">
        <v>65</v>
      </c>
      <c r="D429" s="259" t="s">
        <v>44</v>
      </c>
      <c r="E429" s="259" t="s">
        <v>38</v>
      </c>
      <c r="F429" s="260" t="s">
        <v>95</v>
      </c>
      <c r="G429" s="73"/>
      <c r="H429" s="267">
        <f>H430</f>
        <v>3298.8</v>
      </c>
    </row>
    <row r="430" spans="1:8" ht="36" x14ac:dyDescent="0.35">
      <c r="A430" s="434"/>
      <c r="B430" s="606" t="s">
        <v>53</v>
      </c>
      <c r="C430" s="258" t="s">
        <v>65</v>
      </c>
      <c r="D430" s="259" t="s">
        <v>44</v>
      </c>
      <c r="E430" s="259" t="s">
        <v>38</v>
      </c>
      <c r="F430" s="260" t="s">
        <v>95</v>
      </c>
      <c r="G430" s="73" t="s">
        <v>54</v>
      </c>
      <c r="H430" s="267">
        <f>'прил8 (ведом 24)'!M134</f>
        <v>3298.8</v>
      </c>
    </row>
    <row r="431" spans="1:8" ht="18" x14ac:dyDescent="0.35">
      <c r="A431" s="434"/>
      <c r="B431" s="613"/>
      <c r="C431" s="793"/>
      <c r="D431" s="793"/>
      <c r="E431" s="793"/>
      <c r="F431" s="794"/>
      <c r="G431" s="297"/>
      <c r="H431" s="267"/>
    </row>
    <row r="432" spans="1:8" s="444" customFormat="1" ht="52.2" x14ac:dyDescent="0.3">
      <c r="A432" s="449">
        <v>11</v>
      </c>
      <c r="B432" s="618" t="s">
        <v>97</v>
      </c>
      <c r="C432" s="450" t="s">
        <v>98</v>
      </c>
      <c r="D432" s="450" t="s">
        <v>41</v>
      </c>
      <c r="E432" s="450" t="s">
        <v>42</v>
      </c>
      <c r="F432" s="451" t="s">
        <v>43</v>
      </c>
      <c r="G432" s="443"/>
      <c r="H432" s="310">
        <f>H433</f>
        <v>10949.71689</v>
      </c>
    </row>
    <row r="433" spans="1:8" s="444" customFormat="1" ht="18" x14ac:dyDescent="0.35">
      <c r="A433" s="434"/>
      <c r="B433" s="606" t="s">
        <v>359</v>
      </c>
      <c r="C433" s="258" t="s">
        <v>98</v>
      </c>
      <c r="D433" s="259" t="s">
        <v>44</v>
      </c>
      <c r="E433" s="259" t="s">
        <v>42</v>
      </c>
      <c r="F433" s="260" t="s">
        <v>43</v>
      </c>
      <c r="G433" s="73"/>
      <c r="H433" s="267">
        <f>H434</f>
        <v>10949.71689</v>
      </c>
    </row>
    <row r="434" spans="1:8" s="444" customFormat="1" ht="72" x14ac:dyDescent="0.35">
      <c r="A434" s="434"/>
      <c r="B434" s="606" t="s">
        <v>99</v>
      </c>
      <c r="C434" s="258" t="s">
        <v>98</v>
      </c>
      <c r="D434" s="259" t="s">
        <v>44</v>
      </c>
      <c r="E434" s="259" t="s">
        <v>36</v>
      </c>
      <c r="F434" s="260" t="s">
        <v>43</v>
      </c>
      <c r="G434" s="73"/>
      <c r="H434" s="267">
        <f>H435</f>
        <v>10949.71689</v>
      </c>
    </row>
    <row r="435" spans="1:8" s="444" customFormat="1" ht="72" x14ac:dyDescent="0.35">
      <c r="A435" s="434"/>
      <c r="B435" s="614" t="s">
        <v>100</v>
      </c>
      <c r="C435" s="258" t="s">
        <v>98</v>
      </c>
      <c r="D435" s="259" t="s">
        <v>44</v>
      </c>
      <c r="E435" s="259" t="s">
        <v>36</v>
      </c>
      <c r="F435" s="260" t="s">
        <v>101</v>
      </c>
      <c r="G435" s="73"/>
      <c r="H435" s="267">
        <f>H436</f>
        <v>10949.71689</v>
      </c>
    </row>
    <row r="436" spans="1:8" ht="36" x14ac:dyDescent="0.35">
      <c r="A436" s="434"/>
      <c r="B436" s="606" t="s">
        <v>53</v>
      </c>
      <c r="C436" s="258" t="s">
        <v>98</v>
      </c>
      <c r="D436" s="259" t="s">
        <v>44</v>
      </c>
      <c r="E436" s="259" t="s">
        <v>36</v>
      </c>
      <c r="F436" s="260" t="s">
        <v>101</v>
      </c>
      <c r="G436" s="73" t="s">
        <v>54</v>
      </c>
      <c r="H436" s="267">
        <f>'прил8 (ведом 24)'!M140</f>
        <v>10949.71689</v>
      </c>
    </row>
    <row r="437" spans="1:8" ht="18" x14ac:dyDescent="0.35">
      <c r="A437" s="434"/>
      <c r="B437" s="613"/>
      <c r="C437" s="793"/>
      <c r="D437" s="793"/>
      <c r="E437" s="793"/>
      <c r="F437" s="794"/>
      <c r="G437" s="297"/>
      <c r="H437" s="267"/>
    </row>
    <row r="438" spans="1:8" s="444" customFormat="1" ht="69.599999999999994" x14ac:dyDescent="0.3">
      <c r="A438" s="449">
        <v>12</v>
      </c>
      <c r="B438" s="618" t="s">
        <v>105</v>
      </c>
      <c r="C438" s="450" t="s">
        <v>69</v>
      </c>
      <c r="D438" s="450" t="s">
        <v>41</v>
      </c>
      <c r="E438" s="450" t="s">
        <v>42</v>
      </c>
      <c r="F438" s="451" t="s">
        <v>43</v>
      </c>
      <c r="G438" s="443"/>
      <c r="H438" s="310">
        <f>H439+H443</f>
        <v>1076.0999999999999</v>
      </c>
    </row>
    <row r="439" spans="1:8" s="444" customFormat="1" ht="36" x14ac:dyDescent="0.35">
      <c r="A439" s="434"/>
      <c r="B439" s="621" t="s">
        <v>106</v>
      </c>
      <c r="C439" s="258" t="s">
        <v>69</v>
      </c>
      <c r="D439" s="259" t="s">
        <v>44</v>
      </c>
      <c r="E439" s="259" t="s">
        <v>42</v>
      </c>
      <c r="F439" s="260" t="s">
        <v>43</v>
      </c>
      <c r="G439" s="73"/>
      <c r="H439" s="267">
        <f>H440</f>
        <v>350</v>
      </c>
    </row>
    <row r="440" spans="1:8" s="444" customFormat="1" ht="36" x14ac:dyDescent="0.35">
      <c r="A440" s="434"/>
      <c r="B440" s="606" t="s">
        <v>107</v>
      </c>
      <c r="C440" s="258" t="s">
        <v>69</v>
      </c>
      <c r="D440" s="259" t="s">
        <v>44</v>
      </c>
      <c r="E440" s="259" t="s">
        <v>36</v>
      </c>
      <c r="F440" s="260" t="s">
        <v>43</v>
      </c>
      <c r="G440" s="73"/>
      <c r="H440" s="267">
        <f>H441</f>
        <v>350</v>
      </c>
    </row>
    <row r="441" spans="1:8" s="444" customFormat="1" ht="36" x14ac:dyDescent="0.35">
      <c r="A441" s="434"/>
      <c r="B441" s="621" t="s">
        <v>108</v>
      </c>
      <c r="C441" s="258" t="s">
        <v>69</v>
      </c>
      <c r="D441" s="259" t="s">
        <v>44</v>
      </c>
      <c r="E441" s="259" t="s">
        <v>36</v>
      </c>
      <c r="F441" s="260" t="s">
        <v>109</v>
      </c>
      <c r="G441" s="73"/>
      <c r="H441" s="267">
        <f>SUM(H442:H442)</f>
        <v>350</v>
      </c>
    </row>
    <row r="442" spans="1:8" s="444" customFormat="1" ht="36" x14ac:dyDescent="0.35">
      <c r="A442" s="434"/>
      <c r="B442" s="606" t="s">
        <v>53</v>
      </c>
      <c r="C442" s="258" t="s">
        <v>69</v>
      </c>
      <c r="D442" s="259" t="s">
        <v>44</v>
      </c>
      <c r="E442" s="259" t="s">
        <v>36</v>
      </c>
      <c r="F442" s="260" t="s">
        <v>109</v>
      </c>
      <c r="G442" s="73" t="s">
        <v>54</v>
      </c>
      <c r="H442" s="267">
        <f>'прил8 (ведом 24)'!M146</f>
        <v>350</v>
      </c>
    </row>
    <row r="443" spans="1:8" s="444" customFormat="1" ht="36" x14ac:dyDescent="0.35">
      <c r="A443" s="434"/>
      <c r="B443" s="621" t="s">
        <v>110</v>
      </c>
      <c r="C443" s="258" t="s">
        <v>69</v>
      </c>
      <c r="D443" s="259" t="s">
        <v>87</v>
      </c>
      <c r="E443" s="259" t="s">
        <v>42</v>
      </c>
      <c r="F443" s="260" t="s">
        <v>43</v>
      </c>
      <c r="G443" s="73"/>
      <c r="H443" s="267">
        <f>H444</f>
        <v>726.1</v>
      </c>
    </row>
    <row r="444" spans="1:8" s="444" customFormat="1" ht="36" x14ac:dyDescent="0.35">
      <c r="A444" s="434"/>
      <c r="B444" s="621" t="s">
        <v>111</v>
      </c>
      <c r="C444" s="258" t="s">
        <v>69</v>
      </c>
      <c r="D444" s="259" t="s">
        <v>87</v>
      </c>
      <c r="E444" s="259" t="s">
        <v>36</v>
      </c>
      <c r="F444" s="260" t="s">
        <v>43</v>
      </c>
      <c r="G444" s="73"/>
      <c r="H444" s="267">
        <f>H445</f>
        <v>726.1</v>
      </c>
    </row>
    <row r="445" spans="1:8" s="444" customFormat="1" ht="72" x14ac:dyDescent="0.35">
      <c r="A445" s="434"/>
      <c r="B445" s="621" t="s">
        <v>112</v>
      </c>
      <c r="C445" s="258" t="s">
        <v>69</v>
      </c>
      <c r="D445" s="259" t="s">
        <v>87</v>
      </c>
      <c r="E445" s="259" t="s">
        <v>36</v>
      </c>
      <c r="F445" s="260" t="s">
        <v>113</v>
      </c>
      <c r="G445" s="73"/>
      <c r="H445" s="267">
        <f>H446</f>
        <v>726.1</v>
      </c>
    </row>
    <row r="446" spans="1:8" ht="36" x14ac:dyDescent="0.35">
      <c r="A446" s="434"/>
      <c r="B446" s="606" t="s">
        <v>53</v>
      </c>
      <c r="C446" s="258" t="s">
        <v>69</v>
      </c>
      <c r="D446" s="259" t="s">
        <v>87</v>
      </c>
      <c r="E446" s="259" t="s">
        <v>36</v>
      </c>
      <c r="F446" s="260" t="s">
        <v>113</v>
      </c>
      <c r="G446" s="73" t="s">
        <v>54</v>
      </c>
      <c r="H446" s="267">
        <f>'прил8 (ведом 24)'!M150</f>
        <v>726.1</v>
      </c>
    </row>
    <row r="447" spans="1:8" ht="18" x14ac:dyDescent="0.35">
      <c r="A447" s="434"/>
      <c r="B447" s="613"/>
      <c r="C447" s="793"/>
      <c r="D447" s="793"/>
      <c r="E447" s="793"/>
      <c r="F447" s="794"/>
      <c r="G447" s="297"/>
      <c r="H447" s="267"/>
    </row>
    <row r="448" spans="1:8" s="444" customFormat="1" ht="52.2" x14ac:dyDescent="0.3">
      <c r="A448" s="449">
        <v>13</v>
      </c>
      <c r="B448" s="618" t="s">
        <v>114</v>
      </c>
      <c r="C448" s="450" t="s">
        <v>86</v>
      </c>
      <c r="D448" s="450" t="s">
        <v>41</v>
      </c>
      <c r="E448" s="450" t="s">
        <v>42</v>
      </c>
      <c r="F448" s="451" t="s">
        <v>43</v>
      </c>
      <c r="G448" s="443"/>
      <c r="H448" s="310">
        <f>H449</f>
        <v>50</v>
      </c>
    </row>
    <row r="449" spans="1:8" s="444" customFormat="1" ht="18" x14ac:dyDescent="0.35">
      <c r="A449" s="434"/>
      <c r="B449" s="606" t="s">
        <v>359</v>
      </c>
      <c r="C449" s="258" t="s">
        <v>86</v>
      </c>
      <c r="D449" s="259" t="s">
        <v>44</v>
      </c>
      <c r="E449" s="259" t="s">
        <v>42</v>
      </c>
      <c r="F449" s="260" t="s">
        <v>43</v>
      </c>
      <c r="G449" s="73"/>
      <c r="H449" s="267">
        <f>H450</f>
        <v>50</v>
      </c>
    </row>
    <row r="450" spans="1:8" s="444" customFormat="1" ht="54" x14ac:dyDescent="0.35">
      <c r="A450" s="434"/>
      <c r="B450" s="621" t="s">
        <v>321</v>
      </c>
      <c r="C450" s="258" t="s">
        <v>86</v>
      </c>
      <c r="D450" s="259" t="s">
        <v>44</v>
      </c>
      <c r="E450" s="259" t="s">
        <v>36</v>
      </c>
      <c r="F450" s="260" t="s">
        <v>43</v>
      </c>
      <c r="G450" s="73"/>
      <c r="H450" s="267">
        <f>H451</f>
        <v>50</v>
      </c>
    </row>
    <row r="451" spans="1:8" s="444" customFormat="1" ht="54" x14ac:dyDescent="0.35">
      <c r="A451" s="434"/>
      <c r="B451" s="621" t="s">
        <v>115</v>
      </c>
      <c r="C451" s="258" t="s">
        <v>86</v>
      </c>
      <c r="D451" s="259" t="s">
        <v>44</v>
      </c>
      <c r="E451" s="259" t="s">
        <v>36</v>
      </c>
      <c r="F451" s="260" t="s">
        <v>116</v>
      </c>
      <c r="G451" s="73"/>
      <c r="H451" s="267">
        <f>H452</f>
        <v>50</v>
      </c>
    </row>
    <row r="452" spans="1:8" ht="36" x14ac:dyDescent="0.35">
      <c r="A452" s="434"/>
      <c r="B452" s="606" t="s">
        <v>53</v>
      </c>
      <c r="C452" s="258" t="s">
        <v>86</v>
      </c>
      <c r="D452" s="259" t="s">
        <v>44</v>
      </c>
      <c r="E452" s="259" t="s">
        <v>36</v>
      </c>
      <c r="F452" s="260" t="s">
        <v>116</v>
      </c>
      <c r="G452" s="73" t="s">
        <v>54</v>
      </c>
      <c r="H452" s="267">
        <f>'прил8 (ведом 24)'!M155</f>
        <v>50</v>
      </c>
    </row>
    <row r="453" spans="1:8" s="444" customFormat="1" ht="18" x14ac:dyDescent="0.35">
      <c r="A453" s="434"/>
      <c r="B453" s="609"/>
      <c r="C453" s="793"/>
      <c r="D453" s="793"/>
      <c r="E453" s="793"/>
      <c r="F453" s="794"/>
      <c r="G453" s="297"/>
      <c r="H453" s="267"/>
    </row>
    <row r="454" spans="1:8" s="444" customFormat="1" ht="69.599999999999994" x14ac:dyDescent="0.3">
      <c r="A454" s="449">
        <v>14</v>
      </c>
      <c r="B454" s="618" t="s">
        <v>70</v>
      </c>
      <c r="C454" s="450" t="s">
        <v>71</v>
      </c>
      <c r="D454" s="450" t="s">
        <v>41</v>
      </c>
      <c r="E454" s="450" t="s">
        <v>42</v>
      </c>
      <c r="F454" s="451" t="s">
        <v>43</v>
      </c>
      <c r="G454" s="443"/>
      <c r="H454" s="310">
        <f>H455</f>
        <v>3827</v>
      </c>
    </row>
    <row r="455" spans="1:8" ht="30.75" customHeight="1" x14ac:dyDescent="0.35">
      <c r="A455" s="434"/>
      <c r="B455" s="606" t="s">
        <v>359</v>
      </c>
      <c r="C455" s="258" t="s">
        <v>71</v>
      </c>
      <c r="D455" s="259" t="s">
        <v>44</v>
      </c>
      <c r="E455" s="259" t="s">
        <v>42</v>
      </c>
      <c r="F455" s="260" t="s">
        <v>43</v>
      </c>
      <c r="G455" s="73"/>
      <c r="H455" s="267">
        <f>H456</f>
        <v>3827</v>
      </c>
    </row>
    <row r="456" spans="1:8" ht="36" x14ac:dyDescent="0.35">
      <c r="A456" s="434"/>
      <c r="B456" s="622" t="s">
        <v>280</v>
      </c>
      <c r="C456" s="258" t="s">
        <v>71</v>
      </c>
      <c r="D456" s="259" t="s">
        <v>44</v>
      </c>
      <c r="E456" s="259" t="s">
        <v>36</v>
      </c>
      <c r="F456" s="260" t="s">
        <v>43</v>
      </c>
      <c r="G456" s="73"/>
      <c r="H456" s="267">
        <f>H457</f>
        <v>3827</v>
      </c>
    </row>
    <row r="457" spans="1:8" ht="36" x14ac:dyDescent="0.35">
      <c r="A457" s="434"/>
      <c r="B457" s="622" t="s">
        <v>72</v>
      </c>
      <c r="C457" s="258" t="s">
        <v>71</v>
      </c>
      <c r="D457" s="259" t="s">
        <v>44</v>
      </c>
      <c r="E457" s="259" t="s">
        <v>36</v>
      </c>
      <c r="F457" s="260" t="s">
        <v>73</v>
      </c>
      <c r="G457" s="73"/>
      <c r="H457" s="267">
        <f>H458</f>
        <v>3827</v>
      </c>
    </row>
    <row r="458" spans="1:8" ht="49.5" customHeight="1" x14ac:dyDescent="0.35">
      <c r="A458" s="434"/>
      <c r="B458" s="609" t="s">
        <v>74</v>
      </c>
      <c r="C458" s="258" t="s">
        <v>71</v>
      </c>
      <c r="D458" s="259" t="s">
        <v>44</v>
      </c>
      <c r="E458" s="259" t="s">
        <v>36</v>
      </c>
      <c r="F458" s="260" t="s">
        <v>73</v>
      </c>
      <c r="G458" s="73" t="s">
        <v>75</v>
      </c>
      <c r="H458" s="267">
        <f>'прил8 (ведом 24)'!M62+'прил8 (ведом 24)'!M196</f>
        <v>3827</v>
      </c>
    </row>
    <row r="459" spans="1:8" ht="18" x14ac:dyDescent="0.35">
      <c r="A459" s="434"/>
      <c r="B459" s="609"/>
      <c r="C459" s="793"/>
      <c r="D459" s="793"/>
      <c r="E459" s="793"/>
      <c r="F459" s="794"/>
      <c r="G459" s="297"/>
      <c r="H459" s="267"/>
    </row>
    <row r="460" spans="1:8" s="444" customFormat="1" ht="52.2" x14ac:dyDescent="0.3">
      <c r="A460" s="449">
        <v>15</v>
      </c>
      <c r="B460" s="618" t="s">
        <v>39</v>
      </c>
      <c r="C460" s="450" t="s">
        <v>40</v>
      </c>
      <c r="D460" s="450" t="s">
        <v>41</v>
      </c>
      <c r="E460" s="450" t="s">
        <v>42</v>
      </c>
      <c r="F460" s="451" t="s">
        <v>43</v>
      </c>
      <c r="G460" s="443"/>
      <c r="H460" s="310">
        <f>H461</f>
        <v>164214.57446999999</v>
      </c>
    </row>
    <row r="461" spans="1:8" s="444" customFormat="1" ht="18" x14ac:dyDescent="0.35">
      <c r="A461" s="434"/>
      <c r="B461" s="606" t="s">
        <v>359</v>
      </c>
      <c r="C461" s="258" t="s">
        <v>40</v>
      </c>
      <c r="D461" s="259" t="s">
        <v>44</v>
      </c>
      <c r="E461" s="259" t="s">
        <v>42</v>
      </c>
      <c r="F461" s="260" t="s">
        <v>43</v>
      </c>
      <c r="G461" s="73"/>
      <c r="H461" s="267">
        <f>H462+H465+H484+H492+H497+H510+H504+H501+H507</f>
        <v>164214.57446999999</v>
      </c>
    </row>
    <row r="462" spans="1:8" s="444" customFormat="1" ht="36" x14ac:dyDescent="0.35">
      <c r="A462" s="434"/>
      <c r="B462" s="606" t="s">
        <v>45</v>
      </c>
      <c r="C462" s="258" t="s">
        <v>40</v>
      </c>
      <c r="D462" s="259" t="s">
        <v>44</v>
      </c>
      <c r="E462" s="259" t="s">
        <v>36</v>
      </c>
      <c r="F462" s="260" t="s">
        <v>43</v>
      </c>
      <c r="G462" s="73"/>
      <c r="H462" s="267">
        <f>H463</f>
        <v>2638.4</v>
      </c>
    </row>
    <row r="463" spans="1:8" s="444" customFormat="1" ht="36" x14ac:dyDescent="0.35">
      <c r="A463" s="434"/>
      <c r="B463" s="606" t="s">
        <v>46</v>
      </c>
      <c r="C463" s="258" t="s">
        <v>40</v>
      </c>
      <c r="D463" s="259" t="s">
        <v>44</v>
      </c>
      <c r="E463" s="259" t="s">
        <v>36</v>
      </c>
      <c r="F463" s="260" t="s">
        <v>47</v>
      </c>
      <c r="G463" s="73"/>
      <c r="H463" s="267">
        <f>H464</f>
        <v>2638.4</v>
      </c>
    </row>
    <row r="464" spans="1:8" s="444" customFormat="1" ht="90" x14ac:dyDescent="0.35">
      <c r="A464" s="434"/>
      <c r="B464" s="606" t="s">
        <v>48</v>
      </c>
      <c r="C464" s="258" t="s">
        <v>40</v>
      </c>
      <c r="D464" s="259" t="s">
        <v>44</v>
      </c>
      <c r="E464" s="259" t="s">
        <v>36</v>
      </c>
      <c r="F464" s="260" t="s">
        <v>47</v>
      </c>
      <c r="G464" s="73" t="s">
        <v>49</v>
      </c>
      <c r="H464" s="267">
        <f>'прил8 (ведом 24)'!M19</f>
        <v>2638.4</v>
      </c>
    </row>
    <row r="465" spans="1:8" s="444" customFormat="1" ht="36" x14ac:dyDescent="0.35">
      <c r="A465" s="434"/>
      <c r="B465" s="606" t="s">
        <v>52</v>
      </c>
      <c r="C465" s="258" t="s">
        <v>40</v>
      </c>
      <c r="D465" s="259" t="s">
        <v>44</v>
      </c>
      <c r="E465" s="259" t="s">
        <v>38</v>
      </c>
      <c r="F465" s="260" t="s">
        <v>43</v>
      </c>
      <c r="G465" s="73"/>
      <c r="H465" s="267">
        <f>H466+H470+H474+H476+H478+H472+H481</f>
        <v>85371.77399999999</v>
      </c>
    </row>
    <row r="466" spans="1:8" s="444" customFormat="1" ht="36" x14ac:dyDescent="0.35">
      <c r="A466" s="434"/>
      <c r="B466" s="606" t="s">
        <v>46</v>
      </c>
      <c r="C466" s="258" t="s">
        <v>40</v>
      </c>
      <c r="D466" s="259" t="s">
        <v>44</v>
      </c>
      <c r="E466" s="259" t="s">
        <v>38</v>
      </c>
      <c r="F466" s="260" t="s">
        <v>47</v>
      </c>
      <c r="G466" s="73"/>
      <c r="H466" s="267">
        <f>SUM(H467:H469)</f>
        <v>79620.173999999985</v>
      </c>
    </row>
    <row r="467" spans="1:8" s="444" customFormat="1" ht="90" x14ac:dyDescent="0.35">
      <c r="A467" s="434"/>
      <c r="B467" s="606" t="s">
        <v>48</v>
      </c>
      <c r="C467" s="258" t="s">
        <v>40</v>
      </c>
      <c r="D467" s="259" t="s">
        <v>44</v>
      </c>
      <c r="E467" s="259" t="s">
        <v>38</v>
      </c>
      <c r="F467" s="260" t="s">
        <v>47</v>
      </c>
      <c r="G467" s="73" t="s">
        <v>49</v>
      </c>
      <c r="H467" s="267">
        <f>'прил8 (ведом 24)'!M25</f>
        <v>78949.099999999991</v>
      </c>
    </row>
    <row r="468" spans="1:8" ht="36" x14ac:dyDescent="0.35">
      <c r="A468" s="434"/>
      <c r="B468" s="606" t="s">
        <v>53</v>
      </c>
      <c r="C468" s="258" t="s">
        <v>40</v>
      </c>
      <c r="D468" s="259" t="s">
        <v>44</v>
      </c>
      <c r="E468" s="259" t="s">
        <v>38</v>
      </c>
      <c r="F468" s="260" t="s">
        <v>47</v>
      </c>
      <c r="G468" s="73" t="s">
        <v>54</v>
      </c>
      <c r="H468" s="267">
        <f>'прил8 (ведом 24)'!M26</f>
        <v>546.07400000000007</v>
      </c>
    </row>
    <row r="469" spans="1:8" s="444" customFormat="1" ht="18" x14ac:dyDescent="0.35">
      <c r="A469" s="434"/>
      <c r="B469" s="606" t="s">
        <v>55</v>
      </c>
      <c r="C469" s="258" t="s">
        <v>40</v>
      </c>
      <c r="D469" s="259" t="s">
        <v>44</v>
      </c>
      <c r="E469" s="259" t="s">
        <v>38</v>
      </c>
      <c r="F469" s="260" t="s">
        <v>47</v>
      </c>
      <c r="G469" s="73" t="s">
        <v>56</v>
      </c>
      <c r="H469" s="267">
        <f>'прил8 (ведом 24)'!M27</f>
        <v>125</v>
      </c>
    </row>
    <row r="470" spans="1:8" s="444" customFormat="1" ht="18" x14ac:dyDescent="0.35">
      <c r="A470" s="434"/>
      <c r="B470" s="610" t="s">
        <v>641</v>
      </c>
      <c r="C470" s="799" t="s">
        <v>40</v>
      </c>
      <c r="D470" s="800" t="s">
        <v>44</v>
      </c>
      <c r="E470" s="800" t="s">
        <v>38</v>
      </c>
      <c r="F470" s="801" t="s">
        <v>642</v>
      </c>
      <c r="G470" s="55"/>
      <c r="H470" s="267">
        <f>H471</f>
        <v>63.4</v>
      </c>
    </row>
    <row r="471" spans="1:8" s="444" customFormat="1" ht="36" x14ac:dyDescent="0.35">
      <c r="A471" s="434"/>
      <c r="B471" s="610" t="s">
        <v>53</v>
      </c>
      <c r="C471" s="799" t="s">
        <v>40</v>
      </c>
      <c r="D471" s="800" t="s">
        <v>44</v>
      </c>
      <c r="E471" s="800" t="s">
        <v>38</v>
      </c>
      <c r="F471" s="801" t="s">
        <v>642</v>
      </c>
      <c r="G471" s="55" t="s">
        <v>54</v>
      </c>
      <c r="H471" s="267">
        <f>'прил8 (ведом 24)'!M67</f>
        <v>63.4</v>
      </c>
    </row>
    <row r="472" spans="1:8" s="444" customFormat="1" ht="72" x14ac:dyDescent="0.35">
      <c r="A472" s="434"/>
      <c r="B472" s="607" t="s">
        <v>407</v>
      </c>
      <c r="C472" s="258" t="s">
        <v>40</v>
      </c>
      <c r="D472" s="259" t="s">
        <v>44</v>
      </c>
      <c r="E472" s="259" t="s">
        <v>38</v>
      </c>
      <c r="F472" s="260" t="s">
        <v>406</v>
      </c>
      <c r="G472" s="73"/>
      <c r="H472" s="267">
        <f>H473</f>
        <v>8.6</v>
      </c>
    </row>
    <row r="473" spans="1:8" s="444" customFormat="1" ht="36" x14ac:dyDescent="0.35">
      <c r="A473" s="434"/>
      <c r="B473" s="607" t="s">
        <v>53</v>
      </c>
      <c r="C473" s="258" t="s">
        <v>40</v>
      </c>
      <c r="D473" s="259" t="s">
        <v>44</v>
      </c>
      <c r="E473" s="259" t="s">
        <v>38</v>
      </c>
      <c r="F473" s="260" t="s">
        <v>406</v>
      </c>
      <c r="G473" s="73" t="s">
        <v>54</v>
      </c>
      <c r="H473" s="267">
        <f>'прил8 (ведом 24)'!M46</f>
        <v>8.6</v>
      </c>
    </row>
    <row r="474" spans="1:8" ht="180" x14ac:dyDescent="0.35">
      <c r="A474" s="434"/>
      <c r="B474" s="606" t="s">
        <v>655</v>
      </c>
      <c r="C474" s="258" t="s">
        <v>40</v>
      </c>
      <c r="D474" s="259" t="s">
        <v>44</v>
      </c>
      <c r="E474" s="259" t="s">
        <v>38</v>
      </c>
      <c r="F474" s="260" t="s">
        <v>279</v>
      </c>
      <c r="G474" s="73"/>
      <c r="H474" s="267">
        <f>H475</f>
        <v>63</v>
      </c>
    </row>
    <row r="475" spans="1:8" ht="36" x14ac:dyDescent="0.35">
      <c r="A475" s="434"/>
      <c r="B475" s="606" t="s">
        <v>53</v>
      </c>
      <c r="C475" s="258" t="s">
        <v>40</v>
      </c>
      <c r="D475" s="259" t="s">
        <v>44</v>
      </c>
      <c r="E475" s="259" t="s">
        <v>38</v>
      </c>
      <c r="F475" s="260" t="s">
        <v>279</v>
      </c>
      <c r="G475" s="73" t="s">
        <v>54</v>
      </c>
      <c r="H475" s="267">
        <f>'прил8 (ведом 24)'!M29</f>
        <v>63</v>
      </c>
    </row>
    <row r="476" spans="1:8" ht="173.25" customHeight="1" x14ac:dyDescent="0.35">
      <c r="A476" s="434"/>
      <c r="B476" s="641" t="s">
        <v>472</v>
      </c>
      <c r="C476" s="258" t="s">
        <v>40</v>
      </c>
      <c r="D476" s="259" t="s">
        <v>44</v>
      </c>
      <c r="E476" s="259" t="s">
        <v>38</v>
      </c>
      <c r="F476" s="260" t="s">
        <v>57</v>
      </c>
      <c r="G476" s="73"/>
      <c r="H476" s="267">
        <f>H477</f>
        <v>755.8</v>
      </c>
    </row>
    <row r="477" spans="1:8" ht="90" x14ac:dyDescent="0.35">
      <c r="A477" s="434"/>
      <c r="B477" s="607" t="s">
        <v>48</v>
      </c>
      <c r="C477" s="258" t="s">
        <v>40</v>
      </c>
      <c r="D477" s="259" t="s">
        <v>44</v>
      </c>
      <c r="E477" s="259" t="s">
        <v>38</v>
      </c>
      <c r="F477" s="260" t="s">
        <v>57</v>
      </c>
      <c r="G477" s="73" t="s">
        <v>49</v>
      </c>
      <c r="H477" s="267">
        <f>'прил8 (ведом 24)'!M31</f>
        <v>755.8</v>
      </c>
    </row>
    <row r="478" spans="1:8" ht="54" x14ac:dyDescent="0.35">
      <c r="A478" s="434"/>
      <c r="B478" s="607" t="s">
        <v>430</v>
      </c>
      <c r="C478" s="258" t="s">
        <v>40</v>
      </c>
      <c r="D478" s="259" t="s">
        <v>44</v>
      </c>
      <c r="E478" s="259" t="s">
        <v>38</v>
      </c>
      <c r="F478" s="260" t="s">
        <v>59</v>
      </c>
      <c r="G478" s="73"/>
      <c r="H478" s="267">
        <f>H479+H480</f>
        <v>756</v>
      </c>
    </row>
    <row r="479" spans="1:8" ht="90" x14ac:dyDescent="0.35">
      <c r="A479" s="434"/>
      <c r="B479" s="607" t="s">
        <v>48</v>
      </c>
      <c r="C479" s="258" t="s">
        <v>40</v>
      </c>
      <c r="D479" s="259" t="s">
        <v>44</v>
      </c>
      <c r="E479" s="259" t="s">
        <v>38</v>
      </c>
      <c r="F479" s="260" t="s">
        <v>59</v>
      </c>
      <c r="G479" s="73" t="s">
        <v>49</v>
      </c>
      <c r="H479" s="267">
        <f>'прил8 (ведом 24)'!M33</f>
        <v>751.8</v>
      </c>
    </row>
    <row r="480" spans="1:8" ht="36" x14ac:dyDescent="0.35">
      <c r="A480" s="434"/>
      <c r="B480" s="607" t="s">
        <v>53</v>
      </c>
      <c r="C480" s="258" t="s">
        <v>40</v>
      </c>
      <c r="D480" s="259" t="s">
        <v>44</v>
      </c>
      <c r="E480" s="259" t="s">
        <v>38</v>
      </c>
      <c r="F480" s="260" t="s">
        <v>59</v>
      </c>
      <c r="G480" s="73" t="s">
        <v>54</v>
      </c>
      <c r="H480" s="267">
        <f>'прил8 (ведом 24)'!M34</f>
        <v>4.2</v>
      </c>
    </row>
    <row r="481" spans="1:8" ht="72" x14ac:dyDescent="0.35">
      <c r="A481" s="434"/>
      <c r="B481" s="606" t="s">
        <v>58</v>
      </c>
      <c r="C481" s="258" t="s">
        <v>40</v>
      </c>
      <c r="D481" s="259" t="s">
        <v>44</v>
      </c>
      <c r="E481" s="259" t="s">
        <v>38</v>
      </c>
      <c r="F481" s="260" t="s">
        <v>545</v>
      </c>
      <c r="G481" s="73"/>
      <c r="H481" s="267">
        <f>H482+H483</f>
        <v>4104.8</v>
      </c>
    </row>
    <row r="482" spans="1:8" ht="90" x14ac:dyDescent="0.35">
      <c r="A482" s="434"/>
      <c r="B482" s="606" t="s">
        <v>48</v>
      </c>
      <c r="C482" s="258" t="s">
        <v>40</v>
      </c>
      <c r="D482" s="259" t="s">
        <v>44</v>
      </c>
      <c r="E482" s="259" t="s">
        <v>38</v>
      </c>
      <c r="F482" s="260" t="s">
        <v>545</v>
      </c>
      <c r="G482" s="73" t="s">
        <v>49</v>
      </c>
      <c r="H482" s="267">
        <f>'прил8 (ведом 24)'!M36</f>
        <v>4029.8</v>
      </c>
    </row>
    <row r="483" spans="1:8" ht="36" x14ac:dyDescent="0.35">
      <c r="A483" s="434"/>
      <c r="B483" s="607" t="s">
        <v>53</v>
      </c>
      <c r="C483" s="258" t="s">
        <v>40</v>
      </c>
      <c r="D483" s="259" t="s">
        <v>44</v>
      </c>
      <c r="E483" s="259" t="s">
        <v>38</v>
      </c>
      <c r="F483" s="260" t="s">
        <v>545</v>
      </c>
      <c r="G483" s="73" t="s">
        <v>54</v>
      </c>
      <c r="H483" s="267">
        <f>'прил8 (ведом 24)'!M37</f>
        <v>75</v>
      </c>
    </row>
    <row r="484" spans="1:8" ht="18" x14ac:dyDescent="0.35">
      <c r="A484" s="434"/>
      <c r="B484" s="606" t="s">
        <v>60</v>
      </c>
      <c r="C484" s="258" t="s">
        <v>40</v>
      </c>
      <c r="D484" s="259" t="s">
        <v>44</v>
      </c>
      <c r="E484" s="259" t="s">
        <v>61</v>
      </c>
      <c r="F484" s="260" t="s">
        <v>43</v>
      </c>
      <c r="G484" s="73"/>
      <c r="H484" s="267">
        <f>H487+H489+H485</f>
        <v>3694.2</v>
      </c>
    </row>
    <row r="485" spans="1:8" ht="36" x14ac:dyDescent="0.35">
      <c r="A485" s="434"/>
      <c r="B485" s="610" t="s">
        <v>46</v>
      </c>
      <c r="C485" s="799" t="s">
        <v>40</v>
      </c>
      <c r="D485" s="800" t="s">
        <v>44</v>
      </c>
      <c r="E485" s="800" t="s">
        <v>61</v>
      </c>
      <c r="F485" s="801" t="s">
        <v>47</v>
      </c>
      <c r="G485" s="55"/>
      <c r="H485" s="267">
        <f>H486</f>
        <v>18.5</v>
      </c>
    </row>
    <row r="486" spans="1:8" ht="36" x14ac:dyDescent="0.35">
      <c r="A486" s="434"/>
      <c r="B486" s="610" t="s">
        <v>53</v>
      </c>
      <c r="C486" s="799" t="s">
        <v>40</v>
      </c>
      <c r="D486" s="800" t="s">
        <v>44</v>
      </c>
      <c r="E486" s="800" t="s">
        <v>61</v>
      </c>
      <c r="F486" s="801" t="s">
        <v>47</v>
      </c>
      <c r="G486" s="55" t="s">
        <v>54</v>
      </c>
      <c r="H486" s="267">
        <f>'прил8 (ведом 24)'!M40</f>
        <v>18.5</v>
      </c>
    </row>
    <row r="487" spans="1:8" ht="36" x14ac:dyDescent="0.35">
      <c r="A487" s="434"/>
      <c r="B487" s="607" t="s">
        <v>544</v>
      </c>
      <c r="C487" s="258" t="s">
        <v>40</v>
      </c>
      <c r="D487" s="259" t="s">
        <v>44</v>
      </c>
      <c r="E487" s="259" t="s">
        <v>61</v>
      </c>
      <c r="F487" s="260" t="s">
        <v>543</v>
      </c>
      <c r="G487" s="73"/>
      <c r="H487" s="267">
        <f>H488</f>
        <v>191.6</v>
      </c>
    </row>
    <row r="488" spans="1:8" ht="36" x14ac:dyDescent="0.35">
      <c r="A488" s="434"/>
      <c r="B488" s="607" t="s">
        <v>53</v>
      </c>
      <c r="C488" s="258" t="s">
        <v>40</v>
      </c>
      <c r="D488" s="259" t="s">
        <v>44</v>
      </c>
      <c r="E488" s="259" t="s">
        <v>61</v>
      </c>
      <c r="F488" s="260" t="s">
        <v>543</v>
      </c>
      <c r="G488" s="73" t="s">
        <v>54</v>
      </c>
      <c r="H488" s="267">
        <f>'прил8 (ведом 24)'!M174</f>
        <v>191.6</v>
      </c>
    </row>
    <row r="489" spans="1:8" ht="54" x14ac:dyDescent="0.35">
      <c r="A489" s="434"/>
      <c r="B489" s="607" t="s">
        <v>401</v>
      </c>
      <c r="C489" s="258" t="s">
        <v>40</v>
      </c>
      <c r="D489" s="259" t="s">
        <v>44</v>
      </c>
      <c r="E489" s="259" t="s">
        <v>61</v>
      </c>
      <c r="F489" s="260" t="s">
        <v>400</v>
      </c>
      <c r="G489" s="73"/>
      <c r="H489" s="267">
        <f>H490+H491</f>
        <v>3484.1</v>
      </c>
    </row>
    <row r="490" spans="1:8" ht="36" x14ac:dyDescent="0.35">
      <c r="A490" s="434"/>
      <c r="B490" s="607" t="s">
        <v>53</v>
      </c>
      <c r="C490" s="258" t="s">
        <v>40</v>
      </c>
      <c r="D490" s="259" t="s">
        <v>44</v>
      </c>
      <c r="E490" s="259" t="s">
        <v>61</v>
      </c>
      <c r="F490" s="260" t="s">
        <v>400</v>
      </c>
      <c r="G490" s="73" t="s">
        <v>54</v>
      </c>
      <c r="H490" s="267">
        <f>'прил8 (ведом 24)'!M70</f>
        <v>3260.2999999999997</v>
      </c>
    </row>
    <row r="491" spans="1:8" ht="18" x14ac:dyDescent="0.35">
      <c r="A491" s="434"/>
      <c r="B491" s="607" t="s">
        <v>55</v>
      </c>
      <c r="C491" s="258" t="s">
        <v>40</v>
      </c>
      <c r="D491" s="259" t="s">
        <v>44</v>
      </c>
      <c r="E491" s="259" t="s">
        <v>61</v>
      </c>
      <c r="F491" s="260" t="s">
        <v>400</v>
      </c>
      <c r="G491" s="73" t="s">
        <v>56</v>
      </c>
      <c r="H491" s="267">
        <f>'прил8 (ведом 24)'!M71</f>
        <v>223.8</v>
      </c>
    </row>
    <row r="492" spans="1:8" ht="18" x14ac:dyDescent="0.35">
      <c r="A492" s="434"/>
      <c r="B492" s="606" t="s">
        <v>62</v>
      </c>
      <c r="C492" s="258" t="s">
        <v>40</v>
      </c>
      <c r="D492" s="259" t="s">
        <v>44</v>
      </c>
      <c r="E492" s="259" t="s">
        <v>50</v>
      </c>
      <c r="F492" s="260" t="s">
        <v>43</v>
      </c>
      <c r="G492" s="73"/>
      <c r="H492" s="267">
        <f>H493+H495</f>
        <v>7127.1</v>
      </c>
    </row>
    <row r="493" spans="1:8" ht="54" x14ac:dyDescent="0.35">
      <c r="A493" s="434"/>
      <c r="B493" s="621" t="s">
        <v>372</v>
      </c>
      <c r="C493" s="258" t="s">
        <v>40</v>
      </c>
      <c r="D493" s="259" t="s">
        <v>44</v>
      </c>
      <c r="E493" s="259" t="s">
        <v>50</v>
      </c>
      <c r="F493" s="260" t="s">
        <v>103</v>
      </c>
      <c r="G493" s="73"/>
      <c r="H493" s="267">
        <f>H494</f>
        <v>5038.1000000000004</v>
      </c>
    </row>
    <row r="494" spans="1:8" ht="36" x14ac:dyDescent="0.35">
      <c r="A494" s="434"/>
      <c r="B494" s="606" t="s">
        <v>53</v>
      </c>
      <c r="C494" s="258" t="s">
        <v>40</v>
      </c>
      <c r="D494" s="259" t="s">
        <v>44</v>
      </c>
      <c r="E494" s="259" t="s">
        <v>50</v>
      </c>
      <c r="F494" s="260" t="s">
        <v>103</v>
      </c>
      <c r="G494" s="73" t="s">
        <v>54</v>
      </c>
      <c r="H494" s="267">
        <f>'прил8 (ведом 24)'!M74</f>
        <v>5038.1000000000004</v>
      </c>
    </row>
    <row r="495" spans="1:8" ht="54" x14ac:dyDescent="0.35">
      <c r="A495" s="434"/>
      <c r="B495" s="606" t="s">
        <v>374</v>
      </c>
      <c r="C495" s="258" t="s">
        <v>40</v>
      </c>
      <c r="D495" s="259" t="s">
        <v>44</v>
      </c>
      <c r="E495" s="259" t="s">
        <v>50</v>
      </c>
      <c r="F495" s="260" t="s">
        <v>373</v>
      </c>
      <c r="G495" s="73"/>
      <c r="H495" s="267">
        <f>H496</f>
        <v>2089</v>
      </c>
    </row>
    <row r="496" spans="1:8" ht="36" x14ac:dyDescent="0.35">
      <c r="A496" s="434"/>
      <c r="B496" s="606" t="s">
        <v>53</v>
      </c>
      <c r="C496" s="258" t="s">
        <v>40</v>
      </c>
      <c r="D496" s="259" t="s">
        <v>44</v>
      </c>
      <c r="E496" s="259" t="s">
        <v>50</v>
      </c>
      <c r="F496" s="260" t="s">
        <v>373</v>
      </c>
      <c r="G496" s="73" t="s">
        <v>54</v>
      </c>
      <c r="H496" s="267">
        <f>'прил8 (ведом 24)'!M76</f>
        <v>2089</v>
      </c>
    </row>
    <row r="497" spans="1:8" ht="72" x14ac:dyDescent="0.35">
      <c r="A497" s="459"/>
      <c r="B497" s="629" t="s">
        <v>313</v>
      </c>
      <c r="C497" s="452" t="s">
        <v>40</v>
      </c>
      <c r="D497" s="460" t="s">
        <v>44</v>
      </c>
      <c r="E497" s="460" t="s">
        <v>79</v>
      </c>
      <c r="F497" s="470" t="s">
        <v>43</v>
      </c>
      <c r="G497" s="471"/>
      <c r="H497" s="267">
        <f>H498</f>
        <v>6948.8170699999991</v>
      </c>
    </row>
    <row r="498" spans="1:8" ht="36" x14ac:dyDescent="0.35">
      <c r="A498" s="459"/>
      <c r="B498" s="606" t="s">
        <v>484</v>
      </c>
      <c r="C498" s="452" t="s">
        <v>40</v>
      </c>
      <c r="D498" s="460" t="s">
        <v>44</v>
      </c>
      <c r="E498" s="460" t="s">
        <v>79</v>
      </c>
      <c r="F498" s="470" t="s">
        <v>89</v>
      </c>
      <c r="G498" s="471"/>
      <c r="H498" s="267">
        <f>SUM(H499:H500)</f>
        <v>6948.8170699999991</v>
      </c>
    </row>
    <row r="499" spans="1:8" ht="90" x14ac:dyDescent="0.35">
      <c r="A499" s="459"/>
      <c r="B499" s="629" t="s">
        <v>48</v>
      </c>
      <c r="C499" s="452" t="s">
        <v>40</v>
      </c>
      <c r="D499" s="460" t="s">
        <v>44</v>
      </c>
      <c r="E499" s="460" t="s">
        <v>79</v>
      </c>
      <c r="F499" s="470" t="s">
        <v>89</v>
      </c>
      <c r="G499" s="471" t="s">
        <v>49</v>
      </c>
      <c r="H499" s="267">
        <f>'прил8 (ведом 24)'!M323</f>
        <v>6444.0999999999995</v>
      </c>
    </row>
    <row r="500" spans="1:8" ht="36" x14ac:dyDescent="0.35">
      <c r="A500" s="459"/>
      <c r="B500" s="606" t="s">
        <v>53</v>
      </c>
      <c r="C500" s="452" t="s">
        <v>40</v>
      </c>
      <c r="D500" s="460" t="s">
        <v>44</v>
      </c>
      <c r="E500" s="460" t="s">
        <v>79</v>
      </c>
      <c r="F500" s="470" t="s">
        <v>89</v>
      </c>
      <c r="G500" s="471" t="s">
        <v>54</v>
      </c>
      <c r="H500" s="267">
        <f>'прил8 (ведом 24)'!M324</f>
        <v>504.71706999999998</v>
      </c>
    </row>
    <row r="501" spans="1:8" ht="36" x14ac:dyDescent="0.35">
      <c r="A501" s="459"/>
      <c r="B501" s="749" t="s">
        <v>658</v>
      </c>
      <c r="C501" s="799" t="s">
        <v>40</v>
      </c>
      <c r="D501" s="800" t="s">
        <v>44</v>
      </c>
      <c r="E501" s="800" t="s">
        <v>77</v>
      </c>
      <c r="F501" s="801" t="s">
        <v>43</v>
      </c>
      <c r="G501" s="55"/>
      <c r="H501" s="267">
        <f>H502</f>
        <v>36</v>
      </c>
    </row>
    <row r="502" spans="1:8" ht="18" x14ac:dyDescent="0.35">
      <c r="A502" s="459"/>
      <c r="B502" s="749" t="s">
        <v>659</v>
      </c>
      <c r="C502" s="799" t="s">
        <v>40</v>
      </c>
      <c r="D502" s="800" t="s">
        <v>44</v>
      </c>
      <c r="E502" s="800" t="s">
        <v>77</v>
      </c>
      <c r="F502" s="801" t="s">
        <v>660</v>
      </c>
      <c r="G502" s="55"/>
      <c r="H502" s="267">
        <f>H503</f>
        <v>36</v>
      </c>
    </row>
    <row r="503" spans="1:8" ht="36" x14ac:dyDescent="0.35">
      <c r="A503" s="459"/>
      <c r="B503" s="749" t="s">
        <v>656</v>
      </c>
      <c r="C503" s="799" t="s">
        <v>40</v>
      </c>
      <c r="D503" s="800" t="s">
        <v>44</v>
      </c>
      <c r="E503" s="800" t="s">
        <v>77</v>
      </c>
      <c r="F503" s="801" t="s">
        <v>660</v>
      </c>
      <c r="G503" s="55" t="s">
        <v>661</v>
      </c>
      <c r="H503" s="267">
        <f>'прил8 (ведом 24)'!M203</f>
        <v>36</v>
      </c>
    </row>
    <row r="504" spans="1:8" ht="36" x14ac:dyDescent="0.35">
      <c r="A504" s="459"/>
      <c r="B504" s="610" t="s">
        <v>351</v>
      </c>
      <c r="C504" s="799" t="s">
        <v>40</v>
      </c>
      <c r="D504" s="800" t="s">
        <v>44</v>
      </c>
      <c r="E504" s="800" t="s">
        <v>86</v>
      </c>
      <c r="F504" s="801" t="s">
        <v>43</v>
      </c>
      <c r="G504" s="471"/>
      <c r="H504" s="267">
        <f>H505</f>
        <v>1200</v>
      </c>
    </row>
    <row r="505" spans="1:8" ht="54" x14ac:dyDescent="0.35">
      <c r="A505" s="459"/>
      <c r="B505" s="610" t="s">
        <v>615</v>
      </c>
      <c r="C505" s="799" t="s">
        <v>40</v>
      </c>
      <c r="D505" s="800" t="s">
        <v>44</v>
      </c>
      <c r="E505" s="800" t="s">
        <v>86</v>
      </c>
      <c r="F505" s="801" t="s">
        <v>614</v>
      </c>
      <c r="G505" s="55"/>
      <c r="H505" s="267">
        <f>H506</f>
        <v>1200</v>
      </c>
    </row>
    <row r="506" spans="1:8" ht="36" x14ac:dyDescent="0.35">
      <c r="A506" s="459"/>
      <c r="B506" s="610" t="s">
        <v>53</v>
      </c>
      <c r="C506" s="799" t="s">
        <v>40</v>
      </c>
      <c r="D506" s="800" t="s">
        <v>44</v>
      </c>
      <c r="E506" s="800" t="s">
        <v>86</v>
      </c>
      <c r="F506" s="801" t="s">
        <v>614</v>
      </c>
      <c r="G506" s="55" t="s">
        <v>54</v>
      </c>
      <c r="H506" s="267">
        <f>'прил8 (ведом 24)'!M160</f>
        <v>1200</v>
      </c>
    </row>
    <row r="507" spans="1:8" ht="18" x14ac:dyDescent="0.35">
      <c r="A507" s="459"/>
      <c r="B507" s="696" t="s">
        <v>395</v>
      </c>
      <c r="C507" s="799" t="s">
        <v>40</v>
      </c>
      <c r="D507" s="800" t="s">
        <v>44</v>
      </c>
      <c r="E507" s="800" t="s">
        <v>697</v>
      </c>
      <c r="F507" s="801" t="s">
        <v>43</v>
      </c>
      <c r="G507" s="55"/>
      <c r="H507" s="267">
        <f>H508</f>
        <v>1921.9</v>
      </c>
    </row>
    <row r="508" spans="1:8" ht="36" x14ac:dyDescent="0.35">
      <c r="A508" s="459"/>
      <c r="B508" s="696" t="s">
        <v>357</v>
      </c>
      <c r="C508" s="799" t="s">
        <v>40</v>
      </c>
      <c r="D508" s="800" t="s">
        <v>44</v>
      </c>
      <c r="E508" s="800" t="s">
        <v>697</v>
      </c>
      <c r="F508" s="801" t="s">
        <v>356</v>
      </c>
      <c r="G508" s="55"/>
      <c r="H508" s="267">
        <f>H509</f>
        <v>1921.9</v>
      </c>
    </row>
    <row r="509" spans="1:8" ht="18" x14ac:dyDescent="0.35">
      <c r="A509" s="459"/>
      <c r="B509" s="610" t="s">
        <v>55</v>
      </c>
      <c r="C509" s="799" t="s">
        <v>40</v>
      </c>
      <c r="D509" s="800" t="s">
        <v>44</v>
      </c>
      <c r="E509" s="800" t="s">
        <v>697</v>
      </c>
      <c r="F509" s="801" t="s">
        <v>356</v>
      </c>
      <c r="G509" s="55" t="s">
        <v>56</v>
      </c>
      <c r="H509" s="267">
        <f>'прил8 (ведом 24)'!M79</f>
        <v>1921.9</v>
      </c>
    </row>
    <row r="510" spans="1:8" ht="90" x14ac:dyDescent="0.35">
      <c r="A510" s="459"/>
      <c r="B510" s="610" t="s">
        <v>579</v>
      </c>
      <c r="C510" s="799" t="s">
        <v>40</v>
      </c>
      <c r="D510" s="800" t="s">
        <v>44</v>
      </c>
      <c r="E510" s="800" t="s">
        <v>577</v>
      </c>
      <c r="F510" s="801" t="s">
        <v>43</v>
      </c>
      <c r="G510" s="55"/>
      <c r="H510" s="267">
        <f>H511+H515</f>
        <v>55276.383399999999</v>
      </c>
    </row>
    <row r="511" spans="1:8" ht="36" x14ac:dyDescent="0.35">
      <c r="A511" s="459"/>
      <c r="B511" s="642" t="s">
        <v>484</v>
      </c>
      <c r="C511" s="799" t="s">
        <v>40</v>
      </c>
      <c r="D511" s="800" t="s">
        <v>44</v>
      </c>
      <c r="E511" s="800" t="s">
        <v>577</v>
      </c>
      <c r="F511" s="801" t="s">
        <v>89</v>
      </c>
      <c r="G511" s="55"/>
      <c r="H511" s="267">
        <f>SUM(H512:H514)</f>
        <v>50276.383399999999</v>
      </c>
    </row>
    <row r="512" spans="1:8" ht="90" x14ac:dyDescent="0.35">
      <c r="A512" s="459"/>
      <c r="B512" s="610" t="s">
        <v>48</v>
      </c>
      <c r="C512" s="799" t="s">
        <v>40</v>
      </c>
      <c r="D512" s="800" t="s">
        <v>44</v>
      </c>
      <c r="E512" s="800" t="s">
        <v>577</v>
      </c>
      <c r="F512" s="801" t="s">
        <v>89</v>
      </c>
      <c r="G512" s="55" t="s">
        <v>49</v>
      </c>
      <c r="H512" s="267">
        <f>'прил8 (ведом 24)'!M82</f>
        <v>37281.199999999997</v>
      </c>
    </row>
    <row r="513" spans="1:8" ht="36" x14ac:dyDescent="0.35">
      <c r="A513" s="459"/>
      <c r="B513" s="610" t="s">
        <v>53</v>
      </c>
      <c r="C513" s="799" t="s">
        <v>40</v>
      </c>
      <c r="D513" s="800" t="s">
        <v>44</v>
      </c>
      <c r="E513" s="800" t="s">
        <v>577</v>
      </c>
      <c r="F513" s="801" t="s">
        <v>89</v>
      </c>
      <c r="G513" s="55" t="s">
        <v>54</v>
      </c>
      <c r="H513" s="267">
        <f>'прил8 (ведом 24)'!M83+'прил8 (ведом 24)'!M177</f>
        <v>12907.283400000002</v>
      </c>
    </row>
    <row r="514" spans="1:8" ht="18" x14ac:dyDescent="0.35">
      <c r="A514" s="459"/>
      <c r="B514" s="610" t="s">
        <v>55</v>
      </c>
      <c r="C514" s="799" t="s">
        <v>40</v>
      </c>
      <c r="D514" s="800" t="s">
        <v>44</v>
      </c>
      <c r="E514" s="800" t="s">
        <v>577</v>
      </c>
      <c r="F514" s="801" t="s">
        <v>89</v>
      </c>
      <c r="G514" s="55" t="s">
        <v>56</v>
      </c>
      <c r="H514" s="267">
        <f>'прил8 (ведом 24)'!M84</f>
        <v>87.9</v>
      </c>
    </row>
    <row r="515" spans="1:8" ht="18" x14ac:dyDescent="0.35">
      <c r="A515" s="459"/>
      <c r="B515" s="610" t="s">
        <v>485</v>
      </c>
      <c r="C515" s="799" t="s">
        <v>40</v>
      </c>
      <c r="D515" s="800" t="s">
        <v>44</v>
      </c>
      <c r="E515" s="800" t="s">
        <v>577</v>
      </c>
      <c r="F515" s="801" t="s">
        <v>402</v>
      </c>
      <c r="G515" s="55"/>
      <c r="H515" s="267">
        <f>H516</f>
        <v>5000</v>
      </c>
    </row>
    <row r="516" spans="1:8" ht="36" x14ac:dyDescent="0.35">
      <c r="A516" s="459"/>
      <c r="B516" s="610" t="s">
        <v>53</v>
      </c>
      <c r="C516" s="799" t="s">
        <v>40</v>
      </c>
      <c r="D516" s="800" t="s">
        <v>44</v>
      </c>
      <c r="E516" s="800" t="s">
        <v>577</v>
      </c>
      <c r="F516" s="801" t="s">
        <v>402</v>
      </c>
      <c r="G516" s="55" t="s">
        <v>54</v>
      </c>
      <c r="H516" s="267">
        <f>'прил8 (ведом 24)'!M86</f>
        <v>5000</v>
      </c>
    </row>
    <row r="517" spans="1:8" ht="18" x14ac:dyDescent="0.35">
      <c r="A517" s="459"/>
      <c r="B517" s="606"/>
      <c r="C517" s="259"/>
      <c r="D517" s="259"/>
      <c r="E517" s="259"/>
      <c r="F517" s="260"/>
      <c r="G517" s="73"/>
      <c r="H517" s="267"/>
    </row>
    <row r="518" spans="1:8" ht="52.2" x14ac:dyDescent="0.3">
      <c r="A518" s="449">
        <v>16</v>
      </c>
      <c r="B518" s="628" t="s">
        <v>230</v>
      </c>
      <c r="C518" s="450" t="s">
        <v>231</v>
      </c>
      <c r="D518" s="450" t="s">
        <v>41</v>
      </c>
      <c r="E518" s="450" t="s">
        <v>42</v>
      </c>
      <c r="F518" s="451" t="s">
        <v>43</v>
      </c>
      <c r="G518" s="443"/>
      <c r="H518" s="310">
        <f>H519</f>
        <v>55.6</v>
      </c>
    </row>
    <row r="519" spans="1:8" ht="18" x14ac:dyDescent="0.35">
      <c r="A519" s="434"/>
      <c r="B519" s="606" t="s">
        <v>359</v>
      </c>
      <c r="C519" s="258" t="s">
        <v>231</v>
      </c>
      <c r="D519" s="259" t="s">
        <v>44</v>
      </c>
      <c r="E519" s="259" t="s">
        <v>42</v>
      </c>
      <c r="F519" s="260" t="s">
        <v>43</v>
      </c>
      <c r="G519" s="73"/>
      <c r="H519" s="267">
        <f>H520</f>
        <v>55.6</v>
      </c>
    </row>
    <row r="520" spans="1:8" ht="144" x14ac:dyDescent="0.35">
      <c r="A520" s="434"/>
      <c r="B520" s="606" t="s">
        <v>619</v>
      </c>
      <c r="C520" s="258" t="s">
        <v>231</v>
      </c>
      <c r="D520" s="259" t="s">
        <v>44</v>
      </c>
      <c r="E520" s="259" t="s">
        <v>36</v>
      </c>
      <c r="F520" s="260" t="s">
        <v>43</v>
      </c>
      <c r="G520" s="73"/>
      <c r="H520" s="267">
        <f>H521</f>
        <v>55.6</v>
      </c>
    </row>
    <row r="521" spans="1:8" ht="36" x14ac:dyDescent="0.35">
      <c r="A521" s="434"/>
      <c r="B521" s="606" t="s">
        <v>232</v>
      </c>
      <c r="C521" s="258" t="s">
        <v>231</v>
      </c>
      <c r="D521" s="259" t="s">
        <v>44</v>
      </c>
      <c r="E521" s="259" t="s">
        <v>36</v>
      </c>
      <c r="F521" s="260" t="s">
        <v>294</v>
      </c>
      <c r="G521" s="73"/>
      <c r="H521" s="267">
        <f>H522</f>
        <v>55.6</v>
      </c>
    </row>
    <row r="522" spans="1:8" ht="36" x14ac:dyDescent="0.35">
      <c r="A522" s="434"/>
      <c r="B522" s="606" t="s">
        <v>74</v>
      </c>
      <c r="C522" s="258" t="s">
        <v>231</v>
      </c>
      <c r="D522" s="259" t="s">
        <v>44</v>
      </c>
      <c r="E522" s="259" t="s">
        <v>36</v>
      </c>
      <c r="F522" s="260" t="s">
        <v>294</v>
      </c>
      <c r="G522" s="73" t="s">
        <v>75</v>
      </c>
      <c r="H522" s="267">
        <f>'прил8 (ведом 24)'!M421</f>
        <v>55.6</v>
      </c>
    </row>
    <row r="523" spans="1:8" ht="18" x14ac:dyDescent="0.35">
      <c r="A523" s="459"/>
      <c r="B523" s="606"/>
      <c r="C523" s="259"/>
      <c r="D523" s="259"/>
      <c r="E523" s="259"/>
      <c r="F523" s="259"/>
      <c r="G523" s="73"/>
      <c r="H523" s="267"/>
    </row>
    <row r="524" spans="1:8" ht="34.799999999999997" x14ac:dyDescent="0.3">
      <c r="A524" s="449">
        <v>17</v>
      </c>
      <c r="B524" s="643" t="s">
        <v>129</v>
      </c>
      <c r="C524" s="450" t="s">
        <v>130</v>
      </c>
      <c r="D524" s="450" t="s">
        <v>41</v>
      </c>
      <c r="E524" s="450" t="s">
        <v>42</v>
      </c>
      <c r="F524" s="450" t="s">
        <v>43</v>
      </c>
      <c r="G524" s="443"/>
      <c r="H524" s="310">
        <f>H525</f>
        <v>7055.7999999999984</v>
      </c>
    </row>
    <row r="525" spans="1:8" ht="36" x14ac:dyDescent="0.35">
      <c r="A525" s="434"/>
      <c r="B525" s="644" t="s">
        <v>131</v>
      </c>
      <c r="C525" s="258" t="s">
        <v>130</v>
      </c>
      <c r="D525" s="259" t="s">
        <v>44</v>
      </c>
      <c r="E525" s="259" t="s">
        <v>42</v>
      </c>
      <c r="F525" s="260" t="s">
        <v>43</v>
      </c>
      <c r="G525" s="73"/>
      <c r="H525" s="267">
        <f>H526+H532+H530</f>
        <v>7055.7999999999984</v>
      </c>
    </row>
    <row r="526" spans="1:8" ht="36" x14ac:dyDescent="0.35">
      <c r="A526" s="434"/>
      <c r="B526" s="606" t="s">
        <v>46</v>
      </c>
      <c r="C526" s="258" t="s">
        <v>130</v>
      </c>
      <c r="D526" s="259" t="s">
        <v>44</v>
      </c>
      <c r="E526" s="259" t="s">
        <v>42</v>
      </c>
      <c r="F526" s="260" t="s">
        <v>47</v>
      </c>
      <c r="G526" s="73"/>
      <c r="H526" s="267">
        <f>H527+H528+H529</f>
        <v>5840.3999999999987</v>
      </c>
    </row>
    <row r="527" spans="1:8" ht="90" x14ac:dyDescent="0.35">
      <c r="A527" s="434"/>
      <c r="B527" s="622" t="s">
        <v>48</v>
      </c>
      <c r="C527" s="258" t="s">
        <v>130</v>
      </c>
      <c r="D527" s="259" t="s">
        <v>44</v>
      </c>
      <c r="E527" s="259" t="s">
        <v>42</v>
      </c>
      <c r="F527" s="260" t="s">
        <v>47</v>
      </c>
      <c r="G527" s="73" t="s">
        <v>49</v>
      </c>
      <c r="H527" s="267">
        <f>'прил8 (ведом 24)'!M268</f>
        <v>5497.6999999999989</v>
      </c>
    </row>
    <row r="528" spans="1:8" ht="36" x14ac:dyDescent="0.35">
      <c r="A528" s="434"/>
      <c r="B528" s="606" t="s">
        <v>53</v>
      </c>
      <c r="C528" s="258" t="s">
        <v>130</v>
      </c>
      <c r="D528" s="259" t="s">
        <v>44</v>
      </c>
      <c r="E528" s="259" t="s">
        <v>42</v>
      </c>
      <c r="F528" s="260" t="s">
        <v>47</v>
      </c>
      <c r="G528" s="73" t="s">
        <v>54</v>
      </c>
      <c r="H528" s="267">
        <f>'прил8 (ведом 24)'!M269</f>
        <v>323.7</v>
      </c>
    </row>
    <row r="529" spans="1:8" ht="18" x14ac:dyDescent="0.35">
      <c r="A529" s="434"/>
      <c r="B529" s="606" t="s">
        <v>55</v>
      </c>
      <c r="C529" s="258" t="s">
        <v>130</v>
      </c>
      <c r="D529" s="259" t="s">
        <v>44</v>
      </c>
      <c r="E529" s="259" t="s">
        <v>42</v>
      </c>
      <c r="F529" s="260" t="s">
        <v>47</v>
      </c>
      <c r="G529" s="73" t="s">
        <v>56</v>
      </c>
      <c r="H529" s="267">
        <f>'прил8 (ведом 24)'!M270</f>
        <v>19</v>
      </c>
    </row>
    <row r="530" spans="1:8" ht="36" x14ac:dyDescent="0.35">
      <c r="A530" s="434"/>
      <c r="B530" s="607" t="s">
        <v>544</v>
      </c>
      <c r="C530" s="799" t="s">
        <v>130</v>
      </c>
      <c r="D530" s="800" t="s">
        <v>44</v>
      </c>
      <c r="E530" s="800" t="s">
        <v>42</v>
      </c>
      <c r="F530" s="800" t="s">
        <v>543</v>
      </c>
      <c r="G530" s="55"/>
      <c r="H530" s="267">
        <f>H531</f>
        <v>48.3</v>
      </c>
    </row>
    <row r="531" spans="1:8" ht="36" x14ac:dyDescent="0.35">
      <c r="A531" s="434"/>
      <c r="B531" s="607" t="s">
        <v>53</v>
      </c>
      <c r="C531" s="799" t="s">
        <v>130</v>
      </c>
      <c r="D531" s="800" t="s">
        <v>44</v>
      </c>
      <c r="E531" s="800" t="s">
        <v>42</v>
      </c>
      <c r="F531" s="800" t="s">
        <v>543</v>
      </c>
      <c r="G531" s="597" t="s">
        <v>54</v>
      </c>
      <c r="H531" s="267">
        <f>'прил8 (ведом 24)'!M278</f>
        <v>48.3</v>
      </c>
    </row>
    <row r="532" spans="1:8" ht="36" x14ac:dyDescent="0.35">
      <c r="A532" s="434"/>
      <c r="B532" s="606" t="s">
        <v>233</v>
      </c>
      <c r="C532" s="258" t="s">
        <v>130</v>
      </c>
      <c r="D532" s="259" t="s">
        <v>44</v>
      </c>
      <c r="E532" s="259" t="s">
        <v>42</v>
      </c>
      <c r="F532" s="260" t="s">
        <v>132</v>
      </c>
      <c r="G532" s="73"/>
      <c r="H532" s="267">
        <f>SUM(H533:H533)</f>
        <v>1167.0999999999999</v>
      </c>
    </row>
    <row r="533" spans="1:8" ht="90" x14ac:dyDescent="0.35">
      <c r="A533" s="434"/>
      <c r="B533" s="606" t="s">
        <v>48</v>
      </c>
      <c r="C533" s="258" t="s">
        <v>130</v>
      </c>
      <c r="D533" s="259" t="s">
        <v>44</v>
      </c>
      <c r="E533" s="259" t="s">
        <v>42</v>
      </c>
      <c r="F533" s="260" t="s">
        <v>132</v>
      </c>
      <c r="G533" s="73" t="s">
        <v>49</v>
      </c>
      <c r="H533" s="267">
        <f>'прил8 (ведом 24)'!M272</f>
        <v>1167.0999999999999</v>
      </c>
    </row>
    <row r="534" spans="1:8" ht="18" x14ac:dyDescent="0.35">
      <c r="A534" s="434"/>
      <c r="B534" s="607"/>
      <c r="C534" s="259"/>
      <c r="D534" s="259"/>
      <c r="E534" s="259"/>
      <c r="F534" s="259"/>
      <c r="G534" s="73"/>
      <c r="H534" s="267"/>
    </row>
    <row r="535" spans="1:8" ht="87.6" x14ac:dyDescent="0.35">
      <c r="A535" s="449">
        <v>18</v>
      </c>
      <c r="B535" s="780" t="s">
        <v>727</v>
      </c>
      <c r="C535" s="493" t="s">
        <v>728</v>
      </c>
      <c r="D535" s="494" t="s">
        <v>41</v>
      </c>
      <c r="E535" s="494" t="s">
        <v>42</v>
      </c>
      <c r="F535" s="495" t="s">
        <v>43</v>
      </c>
      <c r="G535" s="297"/>
      <c r="H535" s="310">
        <f>H536</f>
        <v>972.6</v>
      </c>
    </row>
    <row r="536" spans="1:8" ht="90" x14ac:dyDescent="0.35">
      <c r="A536" s="434"/>
      <c r="B536" s="781" t="s">
        <v>729</v>
      </c>
      <c r="C536" s="258" t="s">
        <v>728</v>
      </c>
      <c r="D536" s="259" t="s">
        <v>87</v>
      </c>
      <c r="E536" s="259" t="s">
        <v>42</v>
      </c>
      <c r="F536" s="260" t="s">
        <v>43</v>
      </c>
      <c r="G536" s="73"/>
      <c r="H536" s="267">
        <f>H537</f>
        <v>972.6</v>
      </c>
    </row>
    <row r="537" spans="1:8" ht="72" x14ac:dyDescent="0.35">
      <c r="A537" s="434"/>
      <c r="B537" s="617" t="s">
        <v>732</v>
      </c>
      <c r="C537" s="258" t="s">
        <v>728</v>
      </c>
      <c r="D537" s="259" t="s">
        <v>87</v>
      </c>
      <c r="E537" s="259" t="s">
        <v>36</v>
      </c>
      <c r="F537" s="260" t="s">
        <v>43</v>
      </c>
      <c r="G537" s="73"/>
      <c r="H537" s="267">
        <f>H538</f>
        <v>972.6</v>
      </c>
    </row>
    <row r="538" spans="1:8" ht="72" x14ac:dyDescent="0.35">
      <c r="A538" s="434"/>
      <c r="B538" s="781" t="s">
        <v>730</v>
      </c>
      <c r="C538" s="258" t="s">
        <v>728</v>
      </c>
      <c r="D538" s="259" t="s">
        <v>87</v>
      </c>
      <c r="E538" s="259" t="s">
        <v>36</v>
      </c>
      <c r="F538" s="260" t="s">
        <v>731</v>
      </c>
      <c r="G538" s="73"/>
      <c r="H538" s="267">
        <f>H539</f>
        <v>972.6</v>
      </c>
    </row>
    <row r="539" spans="1:8" ht="18" x14ac:dyDescent="0.35">
      <c r="A539" s="434"/>
      <c r="B539" s="781" t="s">
        <v>121</v>
      </c>
      <c r="C539" s="258" t="s">
        <v>728</v>
      </c>
      <c r="D539" s="259" t="s">
        <v>87</v>
      </c>
      <c r="E539" s="259" t="s">
        <v>36</v>
      </c>
      <c r="F539" s="260" t="s">
        <v>731</v>
      </c>
      <c r="G539" s="73" t="s">
        <v>122</v>
      </c>
      <c r="H539" s="267">
        <f>'прил8 (ведом 24)'!M210</f>
        <v>972.6</v>
      </c>
    </row>
    <row r="540" spans="1:8" ht="18" x14ac:dyDescent="0.35">
      <c r="A540" s="434"/>
      <c r="B540" s="610"/>
      <c r="C540" s="800"/>
      <c r="D540" s="800"/>
      <c r="E540" s="800"/>
      <c r="F540" s="800"/>
      <c r="G540" s="337"/>
      <c r="H540" s="267"/>
    </row>
    <row r="541" spans="1:8" s="444" customFormat="1" ht="39" customHeight="1" x14ac:dyDescent="0.3">
      <c r="A541" s="449">
        <v>19</v>
      </c>
      <c r="B541" s="643" t="s">
        <v>583</v>
      </c>
      <c r="C541" s="450" t="s">
        <v>66</v>
      </c>
      <c r="D541" s="450" t="s">
        <v>41</v>
      </c>
      <c r="E541" s="450" t="s">
        <v>42</v>
      </c>
      <c r="F541" s="450" t="s">
        <v>43</v>
      </c>
      <c r="G541" s="443"/>
      <c r="H541" s="310">
        <f>H542</f>
        <v>54547.209049999998</v>
      </c>
    </row>
    <row r="542" spans="1:8" ht="18" x14ac:dyDescent="0.35">
      <c r="A542" s="434"/>
      <c r="B542" s="622" t="s">
        <v>467</v>
      </c>
      <c r="C542" s="258" t="s">
        <v>66</v>
      </c>
      <c r="D542" s="259" t="s">
        <v>44</v>
      </c>
      <c r="E542" s="259" t="s">
        <v>42</v>
      </c>
      <c r="F542" s="260" t="s">
        <v>43</v>
      </c>
      <c r="G542" s="73"/>
      <c r="H542" s="267">
        <f>H543+H545+H547</f>
        <v>54547.209049999998</v>
      </c>
    </row>
    <row r="543" spans="1:8" ht="36" x14ac:dyDescent="0.35">
      <c r="A543" s="434"/>
      <c r="B543" s="610" t="s">
        <v>724</v>
      </c>
      <c r="C543" s="799" t="s">
        <v>66</v>
      </c>
      <c r="D543" s="800" t="s">
        <v>44</v>
      </c>
      <c r="E543" s="800" t="s">
        <v>42</v>
      </c>
      <c r="F543" s="801" t="s">
        <v>725</v>
      </c>
      <c r="G543" s="55"/>
      <c r="H543" s="267">
        <f>H544</f>
        <v>7255</v>
      </c>
    </row>
    <row r="544" spans="1:8" ht="36" x14ac:dyDescent="0.35">
      <c r="A544" s="434"/>
      <c r="B544" s="610" t="s">
        <v>53</v>
      </c>
      <c r="C544" s="799" t="s">
        <v>66</v>
      </c>
      <c r="D544" s="800" t="s">
        <v>44</v>
      </c>
      <c r="E544" s="800" t="s">
        <v>42</v>
      </c>
      <c r="F544" s="801" t="s">
        <v>725</v>
      </c>
      <c r="G544" s="55" t="s">
        <v>54</v>
      </c>
      <c r="H544" s="267">
        <f>'прил8 (ведом 24)'!M90</f>
        <v>7255</v>
      </c>
    </row>
    <row r="545" spans="1:8" ht="36" x14ac:dyDescent="0.35">
      <c r="A545" s="434"/>
      <c r="B545" s="622" t="s">
        <v>744</v>
      </c>
      <c r="C545" s="258" t="s">
        <v>66</v>
      </c>
      <c r="D545" s="259" t="s">
        <v>44</v>
      </c>
      <c r="E545" s="259" t="s">
        <v>42</v>
      </c>
      <c r="F545" s="260" t="s">
        <v>745</v>
      </c>
      <c r="G545" s="73"/>
      <c r="H545" s="267">
        <f>H546</f>
        <v>26942.400000000001</v>
      </c>
    </row>
    <row r="546" spans="1:8" ht="18" x14ac:dyDescent="0.35">
      <c r="A546" s="434"/>
      <c r="B546" s="622" t="s">
        <v>121</v>
      </c>
      <c r="C546" s="258" t="s">
        <v>66</v>
      </c>
      <c r="D546" s="259" t="s">
        <v>44</v>
      </c>
      <c r="E546" s="259" t="s">
        <v>42</v>
      </c>
      <c r="F546" s="260" t="s">
        <v>745</v>
      </c>
      <c r="G546" s="73">
        <v>500</v>
      </c>
      <c r="H546" s="267">
        <f>'прил8 (ведом 24)'!M214</f>
        <v>26942.400000000001</v>
      </c>
    </row>
    <row r="547" spans="1:8" ht="36" x14ac:dyDescent="0.35">
      <c r="A547" s="434"/>
      <c r="B547" s="606" t="s">
        <v>465</v>
      </c>
      <c r="C547" s="258" t="s">
        <v>66</v>
      </c>
      <c r="D547" s="259" t="s">
        <v>44</v>
      </c>
      <c r="E547" s="259" t="s">
        <v>42</v>
      </c>
      <c r="F547" s="260" t="s">
        <v>67</v>
      </c>
      <c r="G547" s="73"/>
      <c r="H547" s="267">
        <f>H548</f>
        <v>20349.809049999996</v>
      </c>
    </row>
    <row r="548" spans="1:8" ht="18" x14ac:dyDescent="0.35">
      <c r="A548" s="434"/>
      <c r="B548" s="606" t="s">
        <v>55</v>
      </c>
      <c r="C548" s="258" t="s">
        <v>66</v>
      </c>
      <c r="D548" s="259" t="s">
        <v>44</v>
      </c>
      <c r="E548" s="259" t="s">
        <v>42</v>
      </c>
      <c r="F548" s="260" t="s">
        <v>67</v>
      </c>
      <c r="G548" s="73" t="s">
        <v>56</v>
      </c>
      <c r="H548" s="267">
        <f>'прил8 (ведом 24)'!M51</f>
        <v>20349.809049999996</v>
      </c>
    </row>
    <row r="549" spans="1:8" ht="18" x14ac:dyDescent="0.35">
      <c r="A549" s="526"/>
      <c r="B549" s="782"/>
      <c r="C549" s="123"/>
      <c r="D549" s="123"/>
      <c r="E549" s="123"/>
      <c r="F549" s="123"/>
      <c r="G549" s="123"/>
      <c r="H549" s="528"/>
    </row>
    <row r="550" spans="1:8" ht="14.4" customHeight="1" x14ac:dyDescent="0.35">
      <c r="A550" s="526"/>
      <c r="B550" s="527"/>
      <c r="C550" s="123"/>
      <c r="D550" s="123"/>
      <c r="E550" s="123"/>
      <c r="F550" s="123"/>
      <c r="G550" s="123"/>
      <c r="H550" s="528"/>
    </row>
    <row r="551" spans="1:8" ht="18" x14ac:dyDescent="0.35">
      <c r="A551" s="526"/>
      <c r="B551" s="527"/>
      <c r="C551" s="123"/>
      <c r="D551" s="123"/>
      <c r="E551" s="123"/>
      <c r="F551" s="123"/>
      <c r="G551" s="123"/>
      <c r="H551" s="528"/>
    </row>
    <row r="552" spans="1:8" ht="17.399999999999999" x14ac:dyDescent="0.3">
      <c r="A552" s="430"/>
      <c r="B552" s="86"/>
      <c r="C552" s="87"/>
      <c r="D552" s="87"/>
      <c r="E552" s="87"/>
      <c r="F552" s="87"/>
      <c r="G552" s="88"/>
    </row>
    <row r="553" spans="1:8" ht="18" x14ac:dyDescent="0.35">
      <c r="A553" s="785" t="s">
        <v>396</v>
      </c>
      <c r="B553" s="86"/>
      <c r="C553" s="87"/>
      <c r="D553" s="87"/>
      <c r="E553" s="87"/>
      <c r="F553" s="87"/>
      <c r="G553" s="88"/>
    </row>
    <row r="554" spans="1:8" ht="18" x14ac:dyDescent="0.35">
      <c r="A554" s="785" t="s">
        <v>397</v>
      </c>
      <c r="B554" s="86"/>
      <c r="C554" s="87"/>
      <c r="D554" s="87"/>
      <c r="E554" s="87"/>
      <c r="F554" s="87"/>
      <c r="G554" s="88"/>
    </row>
    <row r="555" spans="1:8" ht="18" x14ac:dyDescent="0.35">
      <c r="A555" s="787" t="s">
        <v>398</v>
      </c>
      <c r="B555" s="86"/>
      <c r="C555" s="90"/>
      <c r="D555" s="87"/>
      <c r="E555" s="87"/>
      <c r="F555" s="87"/>
      <c r="G555" s="90"/>
      <c r="H555" s="734" t="s">
        <v>409</v>
      </c>
    </row>
    <row r="556" spans="1:8" ht="18" x14ac:dyDescent="0.35">
      <c r="A556" s="735"/>
      <c r="B556" s="86"/>
      <c r="C556" s="87"/>
      <c r="D556" s="87"/>
      <c r="E556" s="87"/>
      <c r="F556" s="87"/>
    </row>
    <row r="557" spans="1:8" x14ac:dyDescent="0.3">
      <c r="A557" s="430"/>
      <c r="B557" s="86"/>
      <c r="C557" s="87"/>
      <c r="D557" s="87"/>
      <c r="E557" s="87"/>
      <c r="F557" s="87"/>
    </row>
    <row r="558" spans="1:8" x14ac:dyDescent="0.3">
      <c r="A558" s="430"/>
      <c r="B558" s="86"/>
      <c r="C558" s="87"/>
      <c r="D558" s="87"/>
      <c r="E558" s="87"/>
      <c r="F558" s="87"/>
    </row>
    <row r="559" spans="1:8" ht="17.399999999999999" x14ac:dyDescent="0.3">
      <c r="A559" s="430"/>
      <c r="B559" s="86"/>
      <c r="C559" s="87"/>
      <c r="D559" s="87"/>
      <c r="E559" s="87"/>
      <c r="F559" s="87"/>
      <c r="G559" s="88"/>
    </row>
    <row r="560" spans="1:8" hidden="1" x14ac:dyDescent="0.3">
      <c r="A560" s="428">
        <v>1</v>
      </c>
      <c r="B560" s="500" t="s">
        <v>234</v>
      </c>
      <c r="H560" s="429">
        <f>H11+H148+H208+H249+H276+H307+H333+H369+H423+H432+H438+H448+H454+H460+H409+H518</f>
        <v>2367131.6549200001</v>
      </c>
    </row>
    <row r="561" spans="1:8" hidden="1" x14ac:dyDescent="0.3"/>
    <row r="562" spans="1:8" hidden="1" x14ac:dyDescent="0.3">
      <c r="H562" s="429">
        <f>(H560/H10)*100</f>
        <v>97.424561798948773</v>
      </c>
    </row>
    <row r="563" spans="1:8" hidden="1" x14ac:dyDescent="0.3"/>
    <row r="564" spans="1:8" hidden="1" x14ac:dyDescent="0.3">
      <c r="A564" s="428">
        <v>1</v>
      </c>
      <c r="B564" s="500" t="s">
        <v>235</v>
      </c>
      <c r="H564" s="429">
        <f>H524+H541</f>
        <v>61603.009049999993</v>
      </c>
    </row>
    <row r="565" spans="1:8" hidden="1" x14ac:dyDescent="0.3">
      <c r="H565" s="429">
        <f>(H564/H566)*100</f>
        <v>2.5364240056303209</v>
      </c>
    </row>
    <row r="566" spans="1:8" hidden="1" x14ac:dyDescent="0.3">
      <c r="H566" s="429">
        <f>H560+H564</f>
        <v>2428734.6639700001</v>
      </c>
    </row>
  </sheetData>
  <autoFilter ref="A1:H566"/>
  <mergeCells count="3">
    <mergeCell ref="A5:H5"/>
    <mergeCell ref="C8:F8"/>
    <mergeCell ref="C9:F9"/>
  </mergeCells>
  <printOptions horizontalCentered="1"/>
  <pageMargins left="1.1811023622047245" right="0.39370078740157483" top="0.78740157480314965" bottom="0.39370078740157483" header="0" footer="0"/>
  <pageSetup paperSize="9" scale="76" fitToHeight="0" orientation="portrait" blackAndWhite="1" r:id="rId1"/>
  <headerFooter differentFirst="1" alignWithMargins="0">
    <oddHeader>&amp;C&amp;"Times New Roman,обычный"&amp;12&amp;P</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L441"/>
  <sheetViews>
    <sheetView zoomScale="80" zoomScaleNormal="80" zoomScaleSheetLayoutView="70" workbookViewId="0">
      <pane ySplit="3" topLeftCell="A4" activePane="bottomLeft" state="frozen"/>
      <selection activeCell="B19" sqref="B19"/>
      <selection pane="bottomLeft" activeCell="O423" sqref="O423"/>
    </sheetView>
  </sheetViews>
  <sheetFormatPr defaultColWidth="9.109375" defaultRowHeight="15.6" x14ac:dyDescent="0.3"/>
  <cols>
    <col min="1" max="1" width="4.5546875" style="428" customWidth="1"/>
    <col min="2" max="2" width="62.44140625" style="500" customWidth="1"/>
    <col min="3" max="3" width="3.109375" style="501" customWidth="1"/>
    <col min="4" max="4" width="2.33203125" style="501" customWidth="1"/>
    <col min="5" max="5" width="3" style="501" customWidth="1"/>
    <col min="6" max="6" width="8" style="501" customWidth="1"/>
    <col min="7" max="7" width="5.5546875" style="499" customWidth="1"/>
    <col min="8" max="8" width="14.109375" style="89" customWidth="1"/>
    <col min="9" max="9" width="13.33203125" style="90" customWidth="1"/>
    <col min="10" max="10" width="17.6640625" style="90" customWidth="1"/>
    <col min="11" max="11" width="16.44140625" style="90" hidden="1" customWidth="1"/>
    <col min="12" max="12" width="14.6640625" style="90" hidden="1" customWidth="1"/>
    <col min="13" max="16384" width="9.109375" style="90"/>
  </cols>
  <sheetData>
    <row r="1" spans="1:12" ht="18" x14ac:dyDescent="0.35">
      <c r="I1" s="205" t="s">
        <v>528</v>
      </c>
    </row>
    <row r="2" spans="1:12" ht="18" x14ac:dyDescent="0.35">
      <c r="I2" s="205" t="s">
        <v>695</v>
      </c>
    </row>
    <row r="3" spans="1:12" ht="18" x14ac:dyDescent="0.35">
      <c r="I3" s="205"/>
    </row>
    <row r="5" spans="1:12" ht="76.5" customHeight="1" x14ac:dyDescent="0.3">
      <c r="A5" s="826" t="s">
        <v>626</v>
      </c>
      <c r="B5" s="826"/>
      <c r="C5" s="826"/>
      <c r="D5" s="826"/>
      <c r="E5" s="826"/>
      <c r="F5" s="826"/>
      <c r="G5" s="826"/>
      <c r="H5" s="826"/>
      <c r="I5" s="826"/>
    </row>
    <row r="6" spans="1:12" x14ac:dyDescent="0.3">
      <c r="A6" s="90"/>
      <c r="B6" s="90"/>
      <c r="C6" s="428"/>
      <c r="D6" s="428"/>
      <c r="E6" s="428"/>
      <c r="F6" s="428"/>
      <c r="G6" s="429"/>
    </row>
    <row r="7" spans="1:12" ht="18" x14ac:dyDescent="0.35">
      <c r="A7" s="430"/>
      <c r="B7" s="86"/>
      <c r="C7" s="87"/>
      <c r="D7" s="87"/>
      <c r="E7" s="87"/>
      <c r="F7" s="87"/>
      <c r="G7" s="90"/>
      <c r="I7" s="431" t="s">
        <v>21</v>
      </c>
    </row>
    <row r="8" spans="1:12" ht="18" x14ac:dyDescent="0.35">
      <c r="A8" s="834" t="s">
        <v>22</v>
      </c>
      <c r="B8" s="835" t="s">
        <v>23</v>
      </c>
      <c r="C8" s="835" t="s">
        <v>27</v>
      </c>
      <c r="D8" s="835"/>
      <c r="E8" s="835"/>
      <c r="F8" s="835"/>
      <c r="G8" s="835" t="s">
        <v>28</v>
      </c>
      <c r="H8" s="833" t="s">
        <v>15</v>
      </c>
      <c r="I8" s="833"/>
    </row>
    <row r="9" spans="1:12" ht="40.950000000000003" customHeight="1" x14ac:dyDescent="0.3">
      <c r="A9" s="834"/>
      <c r="B9" s="835"/>
      <c r="C9" s="835"/>
      <c r="D9" s="835"/>
      <c r="E9" s="835"/>
      <c r="F9" s="835"/>
      <c r="G9" s="835"/>
      <c r="H9" s="432" t="s">
        <v>578</v>
      </c>
      <c r="I9" s="432" t="s">
        <v>621</v>
      </c>
    </row>
    <row r="10" spans="1:12" ht="18" x14ac:dyDescent="0.35">
      <c r="A10" s="285">
        <v>1</v>
      </c>
      <c r="B10" s="433">
        <v>2</v>
      </c>
      <c r="C10" s="830" t="s">
        <v>29</v>
      </c>
      <c r="D10" s="831"/>
      <c r="E10" s="831"/>
      <c r="F10" s="832"/>
      <c r="G10" s="297" t="s">
        <v>30</v>
      </c>
      <c r="H10" s="286">
        <v>5</v>
      </c>
      <c r="I10" s="286">
        <v>6</v>
      </c>
    </row>
    <row r="11" spans="1:12" ht="18" x14ac:dyDescent="0.35">
      <c r="A11" s="434"/>
      <c r="B11" s="435" t="s">
        <v>200</v>
      </c>
      <c r="C11" s="436"/>
      <c r="D11" s="436"/>
      <c r="E11" s="436"/>
      <c r="F11" s="436"/>
      <c r="G11" s="437"/>
      <c r="H11" s="438">
        <f>H12+H116+H156+H193+H216+H241+H260+H284+H327+H336+H342+H352+H364+H410+H417+H422+H358+H321</f>
        <v>2079560.3999999997</v>
      </c>
      <c r="I11" s="438">
        <f>I12+I116+I156+I193+I216+I241+I260+I284+I327+I336+I342+I352+I364+I410+I417+I422+I358+I321</f>
        <v>2148415</v>
      </c>
      <c r="J11" s="439"/>
      <c r="K11" s="554">
        <f>H11-'прил9 (ведом 25-26)'!M13</f>
        <v>0</v>
      </c>
      <c r="L11" s="537">
        <f>I11-'прил9 (ведом 25-26)'!N13</f>
        <v>0</v>
      </c>
    </row>
    <row r="12" spans="1:12" s="444" customFormat="1" ht="52.2" x14ac:dyDescent="0.3">
      <c r="A12" s="440">
        <v>1</v>
      </c>
      <c r="B12" s="605" t="s">
        <v>203</v>
      </c>
      <c r="C12" s="441" t="s">
        <v>38</v>
      </c>
      <c r="D12" s="441" t="s">
        <v>41</v>
      </c>
      <c r="E12" s="441" t="s">
        <v>42</v>
      </c>
      <c r="F12" s="442" t="s">
        <v>43</v>
      </c>
      <c r="G12" s="443"/>
      <c r="H12" s="310">
        <f>H13+H68+H87</f>
        <v>1409776.7999999998</v>
      </c>
      <c r="I12" s="310">
        <f>I13+I68+I87</f>
        <v>1439497.2</v>
      </c>
    </row>
    <row r="13" spans="1:12" ht="18" x14ac:dyDescent="0.35">
      <c r="A13" s="434"/>
      <c r="B13" s="606" t="s">
        <v>204</v>
      </c>
      <c r="C13" s="793" t="s">
        <v>38</v>
      </c>
      <c r="D13" s="793" t="s">
        <v>44</v>
      </c>
      <c r="E13" s="793" t="s">
        <v>42</v>
      </c>
      <c r="F13" s="794" t="s">
        <v>43</v>
      </c>
      <c r="G13" s="297"/>
      <c r="H13" s="267">
        <f>H14+H28+H64</f>
        <v>1231731.2999999998</v>
      </c>
      <c r="I13" s="267">
        <f>I14+I28+I64</f>
        <v>1261977.7</v>
      </c>
    </row>
    <row r="14" spans="1:12" ht="18" x14ac:dyDescent="0.35">
      <c r="A14" s="434"/>
      <c r="B14" s="606" t="s">
        <v>281</v>
      </c>
      <c r="C14" s="258" t="s">
        <v>38</v>
      </c>
      <c r="D14" s="259" t="s">
        <v>44</v>
      </c>
      <c r="E14" s="259" t="s">
        <v>36</v>
      </c>
      <c r="F14" s="260" t="s">
        <v>43</v>
      </c>
      <c r="G14" s="297"/>
      <c r="H14" s="267">
        <f>H21+H17+H24+H26+H15+H19</f>
        <v>446525.9</v>
      </c>
      <c r="I14" s="267">
        <f>I21+I17+I24+I26+I15+I19</f>
        <v>456845.3</v>
      </c>
    </row>
    <row r="15" spans="1:12" ht="36" x14ac:dyDescent="0.35">
      <c r="A15" s="434"/>
      <c r="B15" s="606" t="s">
        <v>484</v>
      </c>
      <c r="C15" s="258" t="s">
        <v>38</v>
      </c>
      <c r="D15" s="259" t="s">
        <v>44</v>
      </c>
      <c r="E15" s="259" t="s">
        <v>36</v>
      </c>
      <c r="F15" s="260" t="s">
        <v>89</v>
      </c>
      <c r="G15" s="73"/>
      <c r="H15" s="267">
        <f>H16</f>
        <v>110353.1</v>
      </c>
      <c r="I15" s="267">
        <f>I16</f>
        <v>111385</v>
      </c>
    </row>
    <row r="16" spans="1:12" ht="36" x14ac:dyDescent="0.35">
      <c r="A16" s="434"/>
      <c r="B16" s="606" t="s">
        <v>74</v>
      </c>
      <c r="C16" s="258" t="s">
        <v>38</v>
      </c>
      <c r="D16" s="259" t="s">
        <v>44</v>
      </c>
      <c r="E16" s="259" t="s">
        <v>36</v>
      </c>
      <c r="F16" s="260" t="s">
        <v>89</v>
      </c>
      <c r="G16" s="73" t="s">
        <v>75</v>
      </c>
      <c r="H16" s="267">
        <f>'прил9 (ведом 25-26)'!M284</f>
        <v>110353.1</v>
      </c>
      <c r="I16" s="267">
        <f>'прил9 (ведом 25-26)'!N284</f>
        <v>111385</v>
      </c>
    </row>
    <row r="17" spans="1:9" ht="36" x14ac:dyDescent="0.35">
      <c r="A17" s="434"/>
      <c r="B17" s="607" t="s">
        <v>205</v>
      </c>
      <c r="C17" s="258" t="s">
        <v>38</v>
      </c>
      <c r="D17" s="259" t="s">
        <v>44</v>
      </c>
      <c r="E17" s="259" t="s">
        <v>36</v>
      </c>
      <c r="F17" s="260" t="s">
        <v>287</v>
      </c>
      <c r="G17" s="73"/>
      <c r="H17" s="267">
        <f>H18</f>
        <v>30842.2</v>
      </c>
      <c r="I17" s="267">
        <f>I18</f>
        <v>23747.8</v>
      </c>
    </row>
    <row r="18" spans="1:9" ht="36" x14ac:dyDescent="0.35">
      <c r="A18" s="434"/>
      <c r="B18" s="607" t="s">
        <v>74</v>
      </c>
      <c r="C18" s="258" t="s">
        <v>38</v>
      </c>
      <c r="D18" s="259" t="s">
        <v>44</v>
      </c>
      <c r="E18" s="259" t="s">
        <v>36</v>
      </c>
      <c r="F18" s="260" t="s">
        <v>287</v>
      </c>
      <c r="G18" s="73" t="s">
        <v>75</v>
      </c>
      <c r="H18" s="267">
        <f>'прил9 (ведом 25-26)'!M286</f>
        <v>30842.2</v>
      </c>
      <c r="I18" s="267">
        <f>'прил9 (ведом 25-26)'!N286</f>
        <v>23747.8</v>
      </c>
    </row>
    <row r="19" spans="1:9" ht="36" x14ac:dyDescent="0.35">
      <c r="A19" s="434"/>
      <c r="B19" s="607" t="s">
        <v>206</v>
      </c>
      <c r="C19" s="445" t="s">
        <v>38</v>
      </c>
      <c r="D19" s="446" t="s">
        <v>44</v>
      </c>
      <c r="E19" s="446" t="s">
        <v>36</v>
      </c>
      <c r="F19" s="447" t="s">
        <v>288</v>
      </c>
      <c r="G19" s="448"/>
      <c r="H19" s="267">
        <f>H20</f>
        <v>859.1</v>
      </c>
      <c r="I19" s="267">
        <f>I20</f>
        <v>0</v>
      </c>
    </row>
    <row r="20" spans="1:9" ht="36" x14ac:dyDescent="0.35">
      <c r="A20" s="434"/>
      <c r="B20" s="608" t="s">
        <v>201</v>
      </c>
      <c r="C20" s="445" t="s">
        <v>38</v>
      </c>
      <c r="D20" s="446" t="s">
        <v>44</v>
      </c>
      <c r="E20" s="446" t="s">
        <v>36</v>
      </c>
      <c r="F20" s="447" t="s">
        <v>288</v>
      </c>
      <c r="G20" s="448" t="s">
        <v>202</v>
      </c>
      <c r="H20" s="267">
        <f>'прил9 (ведом 25-26)'!M247</f>
        <v>859.1</v>
      </c>
      <c r="I20" s="267">
        <f>'прил9 (ведом 25-26)'!N247</f>
        <v>0</v>
      </c>
    </row>
    <row r="21" spans="1:9" ht="108" x14ac:dyDescent="0.35">
      <c r="A21" s="434"/>
      <c r="B21" s="606" t="s">
        <v>297</v>
      </c>
      <c r="C21" s="258" t="s">
        <v>38</v>
      </c>
      <c r="D21" s="259" t="s">
        <v>44</v>
      </c>
      <c r="E21" s="259" t="s">
        <v>36</v>
      </c>
      <c r="F21" s="260" t="s">
        <v>298</v>
      </c>
      <c r="G21" s="73"/>
      <c r="H21" s="267">
        <f>SUM(H22:H23)</f>
        <v>8438.2000000000007</v>
      </c>
      <c r="I21" s="267">
        <f>SUM(I22:I23)</f>
        <v>8438.2000000000007</v>
      </c>
    </row>
    <row r="22" spans="1:9" ht="36" x14ac:dyDescent="0.35">
      <c r="A22" s="434"/>
      <c r="B22" s="606" t="s">
        <v>53</v>
      </c>
      <c r="C22" s="258" t="s">
        <v>38</v>
      </c>
      <c r="D22" s="259" t="s">
        <v>44</v>
      </c>
      <c r="E22" s="259" t="s">
        <v>36</v>
      </c>
      <c r="F22" s="260" t="s">
        <v>298</v>
      </c>
      <c r="G22" s="73" t="s">
        <v>54</v>
      </c>
      <c r="H22" s="267">
        <f>'прил9 (ведом 25-26)'!M379</f>
        <v>124.7</v>
      </c>
      <c r="I22" s="267">
        <f>'прил9 (ведом 25-26)'!N379</f>
        <v>124.7</v>
      </c>
    </row>
    <row r="23" spans="1:9" ht="18" x14ac:dyDescent="0.35">
      <c r="A23" s="434"/>
      <c r="B23" s="609" t="s">
        <v>118</v>
      </c>
      <c r="C23" s="258" t="s">
        <v>38</v>
      </c>
      <c r="D23" s="259" t="s">
        <v>44</v>
      </c>
      <c r="E23" s="259" t="s">
        <v>36</v>
      </c>
      <c r="F23" s="260" t="s">
        <v>298</v>
      </c>
      <c r="G23" s="73" t="s">
        <v>119</v>
      </c>
      <c r="H23" s="267">
        <f>'прил9 (ведом 25-26)'!M380</f>
        <v>8313.5</v>
      </c>
      <c r="I23" s="267">
        <f>'прил9 (ведом 25-26)'!N380</f>
        <v>8313.5</v>
      </c>
    </row>
    <row r="24" spans="1:9" ht="162" x14ac:dyDescent="0.35">
      <c r="A24" s="434"/>
      <c r="B24" s="606" t="s">
        <v>282</v>
      </c>
      <c r="C24" s="258" t="s">
        <v>38</v>
      </c>
      <c r="D24" s="259" t="s">
        <v>44</v>
      </c>
      <c r="E24" s="259" t="s">
        <v>36</v>
      </c>
      <c r="F24" s="260" t="s">
        <v>283</v>
      </c>
      <c r="G24" s="73"/>
      <c r="H24" s="267">
        <f>H25</f>
        <v>655.8</v>
      </c>
      <c r="I24" s="267">
        <f>I25</f>
        <v>682</v>
      </c>
    </row>
    <row r="25" spans="1:9" ht="36" x14ac:dyDescent="0.35">
      <c r="A25" s="434"/>
      <c r="B25" s="606" t="s">
        <v>74</v>
      </c>
      <c r="C25" s="258" t="s">
        <v>38</v>
      </c>
      <c r="D25" s="259" t="s">
        <v>44</v>
      </c>
      <c r="E25" s="259" t="s">
        <v>36</v>
      </c>
      <c r="F25" s="260" t="s">
        <v>283</v>
      </c>
      <c r="G25" s="73" t="s">
        <v>75</v>
      </c>
      <c r="H25" s="267">
        <f>'прил9 (ведом 25-26)'!M288</f>
        <v>655.8</v>
      </c>
      <c r="I25" s="267">
        <f>'прил9 (ведом 25-26)'!N288</f>
        <v>682</v>
      </c>
    </row>
    <row r="26" spans="1:9" ht="90" x14ac:dyDescent="0.35">
      <c r="A26" s="434"/>
      <c r="B26" s="606" t="s">
        <v>365</v>
      </c>
      <c r="C26" s="258" t="s">
        <v>38</v>
      </c>
      <c r="D26" s="259" t="s">
        <v>44</v>
      </c>
      <c r="E26" s="259" t="s">
        <v>36</v>
      </c>
      <c r="F26" s="260" t="s">
        <v>284</v>
      </c>
      <c r="G26" s="73"/>
      <c r="H26" s="267">
        <f>H27</f>
        <v>295377.5</v>
      </c>
      <c r="I26" s="267">
        <f>I27</f>
        <v>312592.3</v>
      </c>
    </row>
    <row r="27" spans="1:9" ht="36" x14ac:dyDescent="0.35">
      <c r="A27" s="434"/>
      <c r="B27" s="609" t="s">
        <v>74</v>
      </c>
      <c r="C27" s="258" t="s">
        <v>38</v>
      </c>
      <c r="D27" s="259" t="s">
        <v>44</v>
      </c>
      <c r="E27" s="259" t="s">
        <v>36</v>
      </c>
      <c r="F27" s="260" t="s">
        <v>284</v>
      </c>
      <c r="G27" s="73" t="s">
        <v>75</v>
      </c>
      <c r="H27" s="267">
        <f>'прил9 (ведом 25-26)'!M290</f>
        <v>295377.5</v>
      </c>
      <c r="I27" s="267">
        <f>'прил9 (ведом 25-26)'!N290</f>
        <v>312592.3</v>
      </c>
    </row>
    <row r="28" spans="1:9" ht="18" x14ac:dyDescent="0.35">
      <c r="A28" s="434"/>
      <c r="B28" s="606" t="s">
        <v>286</v>
      </c>
      <c r="C28" s="258" t="s">
        <v>38</v>
      </c>
      <c r="D28" s="259" t="s">
        <v>44</v>
      </c>
      <c r="E28" s="259" t="s">
        <v>38</v>
      </c>
      <c r="F28" s="260" t="s">
        <v>43</v>
      </c>
      <c r="G28" s="73"/>
      <c r="H28" s="267">
        <f>H41+H45+H49+H29+H37+H54+H57+H34+H60+H52</f>
        <v>779459.49999999988</v>
      </c>
      <c r="I28" s="267">
        <f>I41+I45+I49+I29+I37+I54+I57+I34+I60+I52</f>
        <v>798186</v>
      </c>
    </row>
    <row r="29" spans="1:9" ht="36" x14ac:dyDescent="0.35">
      <c r="A29" s="434"/>
      <c r="B29" s="606" t="s">
        <v>484</v>
      </c>
      <c r="C29" s="258" t="s">
        <v>38</v>
      </c>
      <c r="D29" s="259" t="s">
        <v>44</v>
      </c>
      <c r="E29" s="259" t="s">
        <v>38</v>
      </c>
      <c r="F29" s="260" t="s">
        <v>89</v>
      </c>
      <c r="G29" s="73"/>
      <c r="H29" s="267">
        <f>SUM(H30:H33)</f>
        <v>83040.900000000009</v>
      </c>
      <c r="I29" s="267">
        <f>SUM(I30:I33)</f>
        <v>85008.1</v>
      </c>
    </row>
    <row r="30" spans="1:9" ht="90" x14ac:dyDescent="0.35">
      <c r="A30" s="434"/>
      <c r="B30" s="607" t="s">
        <v>48</v>
      </c>
      <c r="C30" s="258" t="s">
        <v>38</v>
      </c>
      <c r="D30" s="259" t="s">
        <v>44</v>
      </c>
      <c r="E30" s="259" t="s">
        <v>38</v>
      </c>
      <c r="F30" s="260" t="s">
        <v>89</v>
      </c>
      <c r="G30" s="73" t="s">
        <v>49</v>
      </c>
      <c r="H30" s="267">
        <f>'прил9 (ведом 25-26)'!M296</f>
        <v>451</v>
      </c>
      <c r="I30" s="267">
        <f>'прил9 (ведом 25-26)'!N296</f>
        <v>451</v>
      </c>
    </row>
    <row r="31" spans="1:9" ht="36" x14ac:dyDescent="0.35">
      <c r="A31" s="434"/>
      <c r="B31" s="607" t="s">
        <v>53</v>
      </c>
      <c r="C31" s="258" t="s">
        <v>38</v>
      </c>
      <c r="D31" s="259" t="s">
        <v>44</v>
      </c>
      <c r="E31" s="259" t="s">
        <v>38</v>
      </c>
      <c r="F31" s="260" t="s">
        <v>89</v>
      </c>
      <c r="G31" s="73" t="s">
        <v>54</v>
      </c>
      <c r="H31" s="267">
        <f>'прил9 (ведом 25-26)'!M297</f>
        <v>7088.1</v>
      </c>
      <c r="I31" s="267">
        <f>'прил9 (ведом 25-26)'!N297</f>
        <v>7239.5</v>
      </c>
    </row>
    <row r="32" spans="1:9" ht="36" x14ac:dyDescent="0.35">
      <c r="A32" s="434"/>
      <c r="B32" s="606" t="s">
        <v>74</v>
      </c>
      <c r="C32" s="258" t="s">
        <v>38</v>
      </c>
      <c r="D32" s="259" t="s">
        <v>44</v>
      </c>
      <c r="E32" s="259" t="s">
        <v>38</v>
      </c>
      <c r="F32" s="260" t="s">
        <v>89</v>
      </c>
      <c r="G32" s="73" t="s">
        <v>75</v>
      </c>
      <c r="H32" s="267">
        <f>'прил9 (ведом 25-26)'!M298</f>
        <v>75162.8</v>
      </c>
      <c r="I32" s="267">
        <f>'прил9 (ведом 25-26)'!N298</f>
        <v>76989.3</v>
      </c>
    </row>
    <row r="33" spans="1:9" ht="18" x14ac:dyDescent="0.35">
      <c r="A33" s="434"/>
      <c r="B33" s="606" t="s">
        <v>55</v>
      </c>
      <c r="C33" s="258" t="s">
        <v>38</v>
      </c>
      <c r="D33" s="259" t="s">
        <v>44</v>
      </c>
      <c r="E33" s="259" t="s">
        <v>38</v>
      </c>
      <c r="F33" s="260" t="s">
        <v>89</v>
      </c>
      <c r="G33" s="73" t="s">
        <v>56</v>
      </c>
      <c r="H33" s="267">
        <f>'прил9 (ведом 25-26)'!M299</f>
        <v>339</v>
      </c>
      <c r="I33" s="267">
        <f>'прил9 (ведом 25-26)'!N299</f>
        <v>328.3</v>
      </c>
    </row>
    <row r="34" spans="1:9" ht="36" x14ac:dyDescent="0.35">
      <c r="A34" s="434"/>
      <c r="B34" s="607" t="s">
        <v>205</v>
      </c>
      <c r="C34" s="258" t="s">
        <v>38</v>
      </c>
      <c r="D34" s="259" t="s">
        <v>44</v>
      </c>
      <c r="E34" s="259" t="s">
        <v>38</v>
      </c>
      <c r="F34" s="260" t="s">
        <v>287</v>
      </c>
      <c r="G34" s="73"/>
      <c r="H34" s="267">
        <f>H35+H36</f>
        <v>28715.1</v>
      </c>
      <c r="I34" s="267">
        <f>I35+I36</f>
        <v>22110</v>
      </c>
    </row>
    <row r="35" spans="1:9" ht="36" x14ac:dyDescent="0.35">
      <c r="A35" s="434"/>
      <c r="B35" s="607" t="s">
        <v>53</v>
      </c>
      <c r="C35" s="258" t="s">
        <v>38</v>
      </c>
      <c r="D35" s="259" t="s">
        <v>44</v>
      </c>
      <c r="E35" s="259" t="s">
        <v>38</v>
      </c>
      <c r="F35" s="260" t="s">
        <v>287</v>
      </c>
      <c r="G35" s="73" t="s">
        <v>54</v>
      </c>
      <c r="H35" s="267">
        <f>'прил9 (ведом 25-26)'!M301</f>
        <v>4254.1000000000004</v>
      </c>
      <c r="I35" s="267">
        <f>'прил9 (ведом 25-26)'!N301</f>
        <v>3275.6</v>
      </c>
    </row>
    <row r="36" spans="1:9" ht="36" x14ac:dyDescent="0.35">
      <c r="A36" s="434"/>
      <c r="B36" s="607" t="s">
        <v>74</v>
      </c>
      <c r="C36" s="258" t="s">
        <v>38</v>
      </c>
      <c r="D36" s="259" t="s">
        <v>44</v>
      </c>
      <c r="E36" s="259" t="s">
        <v>38</v>
      </c>
      <c r="F36" s="260" t="s">
        <v>287</v>
      </c>
      <c r="G36" s="73" t="s">
        <v>75</v>
      </c>
      <c r="H36" s="267">
        <f>'прил9 (ведом 25-26)'!M302</f>
        <v>24461</v>
      </c>
      <c r="I36" s="267">
        <f>'прил9 (ведом 25-26)'!N302</f>
        <v>18834.400000000001</v>
      </c>
    </row>
    <row r="37" spans="1:9" ht="36" x14ac:dyDescent="0.35">
      <c r="A37" s="434"/>
      <c r="B37" s="607" t="s">
        <v>206</v>
      </c>
      <c r="C37" s="258" t="s">
        <v>38</v>
      </c>
      <c r="D37" s="259" t="s">
        <v>44</v>
      </c>
      <c r="E37" s="259" t="s">
        <v>38</v>
      </c>
      <c r="F37" s="260" t="s">
        <v>288</v>
      </c>
      <c r="G37" s="73"/>
      <c r="H37" s="267">
        <f>SUM(H38:H40)</f>
        <v>25846.6</v>
      </c>
      <c r="I37" s="267">
        <f>SUM(I38:I40)</f>
        <v>23835.5</v>
      </c>
    </row>
    <row r="38" spans="1:9" ht="36" x14ac:dyDescent="0.35">
      <c r="A38" s="434"/>
      <c r="B38" s="607" t="s">
        <v>53</v>
      </c>
      <c r="C38" s="258" t="s">
        <v>38</v>
      </c>
      <c r="D38" s="259" t="s">
        <v>44</v>
      </c>
      <c r="E38" s="259" t="s">
        <v>38</v>
      </c>
      <c r="F38" s="260" t="s">
        <v>288</v>
      </c>
      <c r="G38" s="73" t="s">
        <v>54</v>
      </c>
      <c r="H38" s="267">
        <f>'прил9 (ведом 25-26)'!M304</f>
        <v>609.1</v>
      </c>
      <c r="I38" s="267">
        <f>'прил9 (ведом 25-26)'!N304</f>
        <v>609.1</v>
      </c>
    </row>
    <row r="39" spans="1:9" ht="36" x14ac:dyDescent="0.35">
      <c r="A39" s="434"/>
      <c r="B39" s="608" t="s">
        <v>201</v>
      </c>
      <c r="C39" s="258" t="s">
        <v>38</v>
      </c>
      <c r="D39" s="259" t="s">
        <v>44</v>
      </c>
      <c r="E39" s="259" t="s">
        <v>38</v>
      </c>
      <c r="F39" s="260" t="s">
        <v>288</v>
      </c>
      <c r="G39" s="73" t="s">
        <v>202</v>
      </c>
      <c r="H39" s="267">
        <f>'прил9 (ведом 25-26)'!M253</f>
        <v>2000.2</v>
      </c>
      <c r="I39" s="267">
        <f>'прил9 (ведом 25-26)'!N253</f>
        <v>0</v>
      </c>
    </row>
    <row r="40" spans="1:9" ht="36" x14ac:dyDescent="0.35">
      <c r="A40" s="434"/>
      <c r="B40" s="607" t="s">
        <v>74</v>
      </c>
      <c r="C40" s="258" t="s">
        <v>38</v>
      </c>
      <c r="D40" s="259" t="s">
        <v>44</v>
      </c>
      <c r="E40" s="259" t="s">
        <v>38</v>
      </c>
      <c r="F40" s="260" t="s">
        <v>288</v>
      </c>
      <c r="G40" s="73" t="s">
        <v>75</v>
      </c>
      <c r="H40" s="267">
        <f>'прил9 (ведом 25-26)'!M305</f>
        <v>23237.3</v>
      </c>
      <c r="I40" s="267">
        <f>'прил9 (ведом 25-26)'!N305</f>
        <v>23226.400000000001</v>
      </c>
    </row>
    <row r="41" spans="1:9" ht="162" x14ac:dyDescent="0.35">
      <c r="A41" s="434"/>
      <c r="B41" s="606" t="s">
        <v>282</v>
      </c>
      <c r="C41" s="258" t="s">
        <v>38</v>
      </c>
      <c r="D41" s="259" t="s">
        <v>44</v>
      </c>
      <c r="E41" s="259" t="s">
        <v>38</v>
      </c>
      <c r="F41" s="260" t="s">
        <v>283</v>
      </c>
      <c r="G41" s="73"/>
      <c r="H41" s="267">
        <f>SUM(H42:H44)</f>
        <v>1527.3</v>
      </c>
      <c r="I41" s="267">
        <f>SUM(I42:I44)</f>
        <v>1588.3999999999999</v>
      </c>
    </row>
    <row r="42" spans="1:9" ht="90" x14ac:dyDescent="0.35">
      <c r="A42" s="434"/>
      <c r="B42" s="607" t="s">
        <v>48</v>
      </c>
      <c r="C42" s="258" t="s">
        <v>38</v>
      </c>
      <c r="D42" s="259" t="s">
        <v>44</v>
      </c>
      <c r="E42" s="259" t="s">
        <v>38</v>
      </c>
      <c r="F42" s="260" t="s">
        <v>283</v>
      </c>
      <c r="G42" s="73" t="s">
        <v>49</v>
      </c>
      <c r="H42" s="267">
        <f>'прил9 (ведом 25-26)'!M307</f>
        <v>80</v>
      </c>
      <c r="I42" s="267">
        <f>'прил9 (ведом 25-26)'!N307</f>
        <v>82.4</v>
      </c>
    </row>
    <row r="43" spans="1:9" ht="18" x14ac:dyDescent="0.35">
      <c r="A43" s="434"/>
      <c r="B43" s="607" t="s">
        <v>118</v>
      </c>
      <c r="C43" s="258" t="s">
        <v>38</v>
      </c>
      <c r="D43" s="259" t="s">
        <v>44</v>
      </c>
      <c r="E43" s="259" t="s">
        <v>38</v>
      </c>
      <c r="F43" s="260" t="s">
        <v>283</v>
      </c>
      <c r="G43" s="73" t="s">
        <v>119</v>
      </c>
      <c r="H43" s="267">
        <f>'прил9 (ведом 25-26)'!M308</f>
        <v>5.6</v>
      </c>
      <c r="I43" s="267">
        <f>'прил9 (ведом 25-26)'!N308</f>
        <v>5.7</v>
      </c>
    </row>
    <row r="44" spans="1:9" ht="36" x14ac:dyDescent="0.35">
      <c r="A44" s="434"/>
      <c r="B44" s="606" t="s">
        <v>74</v>
      </c>
      <c r="C44" s="258" t="s">
        <v>38</v>
      </c>
      <c r="D44" s="259" t="s">
        <v>44</v>
      </c>
      <c r="E44" s="259" t="s">
        <v>38</v>
      </c>
      <c r="F44" s="260" t="s">
        <v>283</v>
      </c>
      <c r="G44" s="73" t="s">
        <v>75</v>
      </c>
      <c r="H44" s="267">
        <f>'прил9 (ведом 25-26)'!M309</f>
        <v>1441.7</v>
      </c>
      <c r="I44" s="267">
        <f>'прил9 (ведом 25-26)'!N309</f>
        <v>1500.3</v>
      </c>
    </row>
    <row r="45" spans="1:9" ht="90" x14ac:dyDescent="0.35">
      <c r="A45" s="434"/>
      <c r="B45" s="606" t="s">
        <v>365</v>
      </c>
      <c r="C45" s="258" t="s">
        <v>38</v>
      </c>
      <c r="D45" s="259" t="s">
        <v>44</v>
      </c>
      <c r="E45" s="259" t="s">
        <v>38</v>
      </c>
      <c r="F45" s="260" t="s">
        <v>284</v>
      </c>
      <c r="G45" s="73"/>
      <c r="H45" s="267">
        <f>SUM(H46:H48)</f>
        <v>520244.5</v>
      </c>
      <c r="I45" s="267">
        <f>SUM(I46:I48)</f>
        <v>545579.30000000005</v>
      </c>
    </row>
    <row r="46" spans="1:9" ht="90" x14ac:dyDescent="0.35">
      <c r="A46" s="434"/>
      <c r="B46" s="606" t="s">
        <v>48</v>
      </c>
      <c r="C46" s="258" t="s">
        <v>38</v>
      </c>
      <c r="D46" s="259" t="s">
        <v>44</v>
      </c>
      <c r="E46" s="259" t="s">
        <v>38</v>
      </c>
      <c r="F46" s="260" t="s">
        <v>284</v>
      </c>
      <c r="G46" s="73" t="s">
        <v>49</v>
      </c>
      <c r="H46" s="267">
        <f>'прил9 (ведом 25-26)'!M311</f>
        <v>30000</v>
      </c>
      <c r="I46" s="267">
        <f>'прил9 (ведом 25-26)'!N311</f>
        <v>30000</v>
      </c>
    </row>
    <row r="47" spans="1:9" ht="36" x14ac:dyDescent="0.35">
      <c r="A47" s="434"/>
      <c r="B47" s="606" t="s">
        <v>53</v>
      </c>
      <c r="C47" s="258" t="s">
        <v>38</v>
      </c>
      <c r="D47" s="259" t="s">
        <v>44</v>
      </c>
      <c r="E47" s="259" t="s">
        <v>38</v>
      </c>
      <c r="F47" s="260" t="s">
        <v>284</v>
      </c>
      <c r="G47" s="73" t="s">
        <v>54</v>
      </c>
      <c r="H47" s="267">
        <f>'прил9 (ведом 25-26)'!M312</f>
        <v>2062</v>
      </c>
      <c r="I47" s="267">
        <f>'прил9 (ведом 25-26)'!N312</f>
        <v>2062</v>
      </c>
    </row>
    <row r="48" spans="1:9" ht="36" x14ac:dyDescent="0.35">
      <c r="A48" s="434"/>
      <c r="B48" s="606" t="s">
        <v>74</v>
      </c>
      <c r="C48" s="258" t="s">
        <v>38</v>
      </c>
      <c r="D48" s="259" t="s">
        <v>44</v>
      </c>
      <c r="E48" s="259" t="s">
        <v>38</v>
      </c>
      <c r="F48" s="260" t="s">
        <v>284</v>
      </c>
      <c r="G48" s="73" t="s">
        <v>75</v>
      </c>
      <c r="H48" s="267">
        <f>'прил9 (ведом 25-26)'!M313</f>
        <v>488182.5</v>
      </c>
      <c r="I48" s="267">
        <f>'прил9 (ведом 25-26)'!N313</f>
        <v>513517.3</v>
      </c>
    </row>
    <row r="49" spans="1:9" ht="72" x14ac:dyDescent="0.35">
      <c r="A49" s="434"/>
      <c r="B49" s="606" t="s">
        <v>207</v>
      </c>
      <c r="C49" s="793" t="s">
        <v>38</v>
      </c>
      <c r="D49" s="793" t="s">
        <v>44</v>
      </c>
      <c r="E49" s="793" t="s">
        <v>38</v>
      </c>
      <c r="F49" s="794" t="s">
        <v>289</v>
      </c>
      <c r="G49" s="297"/>
      <c r="H49" s="267">
        <f>SUM(H50:H51)</f>
        <v>2481.6</v>
      </c>
      <c r="I49" s="267">
        <f>SUM(I50:I51)</f>
        <v>2589.2000000000003</v>
      </c>
    </row>
    <row r="50" spans="1:9" ht="36" x14ac:dyDescent="0.35">
      <c r="A50" s="434"/>
      <c r="B50" s="607" t="s">
        <v>53</v>
      </c>
      <c r="C50" s="258" t="s">
        <v>38</v>
      </c>
      <c r="D50" s="259" t="s">
        <v>44</v>
      </c>
      <c r="E50" s="259" t="s">
        <v>38</v>
      </c>
      <c r="F50" s="260" t="s">
        <v>289</v>
      </c>
      <c r="G50" s="73" t="s">
        <v>54</v>
      </c>
      <c r="H50" s="267">
        <f>'прил9 (ведом 25-26)'!M315</f>
        <v>106.4</v>
      </c>
      <c r="I50" s="267">
        <f>'прил9 (ведом 25-26)'!N315</f>
        <v>110.3</v>
      </c>
    </row>
    <row r="51" spans="1:9" ht="36" x14ac:dyDescent="0.35">
      <c r="A51" s="434"/>
      <c r="B51" s="606" t="s">
        <v>74</v>
      </c>
      <c r="C51" s="793" t="s">
        <v>38</v>
      </c>
      <c r="D51" s="793" t="s">
        <v>44</v>
      </c>
      <c r="E51" s="793" t="s">
        <v>38</v>
      </c>
      <c r="F51" s="794" t="s">
        <v>289</v>
      </c>
      <c r="G51" s="297" t="s">
        <v>75</v>
      </c>
      <c r="H51" s="267">
        <f>'прил9 (ведом 25-26)'!M316</f>
        <v>2375.1999999999998</v>
      </c>
      <c r="I51" s="267">
        <f>'прил9 (ведом 25-26)'!N316</f>
        <v>2478.9</v>
      </c>
    </row>
    <row r="52" spans="1:9" ht="126" x14ac:dyDescent="0.35">
      <c r="A52" s="434"/>
      <c r="B52" s="610" t="s">
        <v>556</v>
      </c>
      <c r="C52" s="799" t="s">
        <v>38</v>
      </c>
      <c r="D52" s="800" t="s">
        <v>44</v>
      </c>
      <c r="E52" s="800" t="s">
        <v>38</v>
      </c>
      <c r="F52" s="801" t="s">
        <v>555</v>
      </c>
      <c r="G52" s="297"/>
      <c r="H52" s="267">
        <f>H53</f>
        <v>1921.1</v>
      </c>
      <c r="I52" s="267">
        <f>I53</f>
        <v>1875.2</v>
      </c>
    </row>
    <row r="53" spans="1:9" ht="36" x14ac:dyDescent="0.35">
      <c r="A53" s="434"/>
      <c r="B53" s="610" t="s">
        <v>74</v>
      </c>
      <c r="C53" s="799" t="s">
        <v>38</v>
      </c>
      <c r="D53" s="800" t="s">
        <v>44</v>
      </c>
      <c r="E53" s="800" t="s">
        <v>38</v>
      </c>
      <c r="F53" s="801" t="s">
        <v>555</v>
      </c>
      <c r="G53" s="55" t="s">
        <v>75</v>
      </c>
      <c r="H53" s="267">
        <f>'прил9 (ведом 25-26)'!M318</f>
        <v>1921.1</v>
      </c>
      <c r="I53" s="267">
        <f>'прил9 (ведом 25-26)'!N318</f>
        <v>1875.2</v>
      </c>
    </row>
    <row r="54" spans="1:9" ht="72" x14ac:dyDescent="0.35">
      <c r="A54" s="434"/>
      <c r="B54" s="607" t="s">
        <v>476</v>
      </c>
      <c r="C54" s="258" t="s">
        <v>38</v>
      </c>
      <c r="D54" s="259" t="s">
        <v>44</v>
      </c>
      <c r="E54" s="259" t="s">
        <v>38</v>
      </c>
      <c r="F54" s="260" t="s">
        <v>475</v>
      </c>
      <c r="G54" s="73"/>
      <c r="H54" s="267">
        <f>H55+H56</f>
        <v>66931</v>
      </c>
      <c r="I54" s="267">
        <f>I55+I56</f>
        <v>67036.900000000009</v>
      </c>
    </row>
    <row r="55" spans="1:9" ht="36" x14ac:dyDescent="0.35">
      <c r="A55" s="434"/>
      <c r="B55" s="607" t="s">
        <v>53</v>
      </c>
      <c r="C55" s="258" t="s">
        <v>38</v>
      </c>
      <c r="D55" s="259" t="s">
        <v>44</v>
      </c>
      <c r="E55" s="259" t="s">
        <v>38</v>
      </c>
      <c r="F55" s="260" t="s">
        <v>475</v>
      </c>
      <c r="G55" s="73" t="s">
        <v>54</v>
      </c>
      <c r="H55" s="267">
        <f>'прил9 (ведом 25-26)'!M320</f>
        <v>1760.3</v>
      </c>
      <c r="I55" s="267">
        <f>'прил9 (ведом 25-26)'!N320</f>
        <v>1763.1</v>
      </c>
    </row>
    <row r="56" spans="1:9" ht="36" x14ac:dyDescent="0.35">
      <c r="A56" s="434"/>
      <c r="B56" s="607" t="s">
        <v>74</v>
      </c>
      <c r="C56" s="258" t="s">
        <v>38</v>
      </c>
      <c r="D56" s="259" t="s">
        <v>44</v>
      </c>
      <c r="E56" s="259" t="s">
        <v>38</v>
      </c>
      <c r="F56" s="260" t="s">
        <v>475</v>
      </c>
      <c r="G56" s="73" t="s">
        <v>75</v>
      </c>
      <c r="H56" s="267">
        <f>'прил9 (ведом 25-26)'!M321</f>
        <v>65170.7</v>
      </c>
      <c r="I56" s="267">
        <f>'прил9 (ведом 25-26)'!N321</f>
        <v>65273.8</v>
      </c>
    </row>
    <row r="57" spans="1:9" ht="234" x14ac:dyDescent="0.35">
      <c r="A57" s="434"/>
      <c r="B57" s="607" t="s">
        <v>759</v>
      </c>
      <c r="C57" s="258" t="s">
        <v>38</v>
      </c>
      <c r="D57" s="259" t="s">
        <v>44</v>
      </c>
      <c r="E57" s="259" t="s">
        <v>38</v>
      </c>
      <c r="F57" s="260" t="s">
        <v>696</v>
      </c>
      <c r="G57" s="73"/>
      <c r="H57" s="267">
        <f>H58+H59</f>
        <v>35544.6</v>
      </c>
      <c r="I57" s="267">
        <f>I58+I59</f>
        <v>35544.6</v>
      </c>
    </row>
    <row r="58" spans="1:9" ht="90" x14ac:dyDescent="0.35">
      <c r="A58" s="434"/>
      <c r="B58" s="607" t="s">
        <v>48</v>
      </c>
      <c r="C58" s="258" t="s">
        <v>38</v>
      </c>
      <c r="D58" s="259" t="s">
        <v>44</v>
      </c>
      <c r="E58" s="259" t="s">
        <v>38</v>
      </c>
      <c r="F58" s="260" t="s">
        <v>696</v>
      </c>
      <c r="G58" s="73" t="s">
        <v>49</v>
      </c>
      <c r="H58" s="267">
        <f>'прил9 (ведом 25-26)'!M323</f>
        <v>2968.6</v>
      </c>
      <c r="I58" s="267">
        <f>'прил9 (ведом 25-26)'!N323</f>
        <v>2968.6</v>
      </c>
    </row>
    <row r="59" spans="1:9" ht="36" x14ac:dyDescent="0.35">
      <c r="A59" s="434"/>
      <c r="B59" s="607" t="s">
        <v>74</v>
      </c>
      <c r="C59" s="258" t="s">
        <v>38</v>
      </c>
      <c r="D59" s="259" t="s">
        <v>44</v>
      </c>
      <c r="E59" s="259" t="s">
        <v>38</v>
      </c>
      <c r="F59" s="260" t="s">
        <v>696</v>
      </c>
      <c r="G59" s="73" t="s">
        <v>75</v>
      </c>
      <c r="H59" s="267">
        <f>'прил9 (ведом 25-26)'!M324</f>
        <v>32576</v>
      </c>
      <c r="I59" s="267">
        <f>'прил9 (ведом 25-26)'!N324</f>
        <v>32576</v>
      </c>
    </row>
    <row r="60" spans="1:9" ht="72" x14ac:dyDescent="0.35">
      <c r="A60" s="434"/>
      <c r="B60" s="610" t="s">
        <v>760</v>
      </c>
      <c r="C60" s="799" t="s">
        <v>38</v>
      </c>
      <c r="D60" s="800" t="s">
        <v>44</v>
      </c>
      <c r="E60" s="800" t="s">
        <v>38</v>
      </c>
      <c r="F60" s="801" t="s">
        <v>553</v>
      </c>
      <c r="G60" s="73"/>
      <c r="H60" s="267">
        <f>H61+H62+H63</f>
        <v>13206.800000000001</v>
      </c>
      <c r="I60" s="267">
        <f>I61+I62+I63</f>
        <v>13018.800000000001</v>
      </c>
    </row>
    <row r="61" spans="1:9" ht="36" x14ac:dyDescent="0.35">
      <c r="A61" s="434"/>
      <c r="B61" s="610" t="s">
        <v>53</v>
      </c>
      <c r="C61" s="799" t="s">
        <v>38</v>
      </c>
      <c r="D61" s="800" t="s">
        <v>44</v>
      </c>
      <c r="E61" s="800" t="s">
        <v>38</v>
      </c>
      <c r="F61" s="801" t="s">
        <v>553</v>
      </c>
      <c r="G61" s="55" t="s">
        <v>54</v>
      </c>
      <c r="H61" s="267">
        <f>'прил9 (ведом 25-26)'!M326</f>
        <v>129.6</v>
      </c>
      <c r="I61" s="267">
        <f>'прил9 (ведом 25-26)'!N326</f>
        <v>107.7</v>
      </c>
    </row>
    <row r="62" spans="1:9" ht="18" x14ac:dyDescent="0.35">
      <c r="A62" s="434"/>
      <c r="B62" s="610" t="s">
        <v>118</v>
      </c>
      <c r="C62" s="799" t="s">
        <v>38</v>
      </c>
      <c r="D62" s="800" t="s">
        <v>44</v>
      </c>
      <c r="E62" s="800" t="s">
        <v>38</v>
      </c>
      <c r="F62" s="801" t="s">
        <v>553</v>
      </c>
      <c r="G62" s="55" t="s">
        <v>119</v>
      </c>
      <c r="H62" s="267">
        <f>'прил9 (ведом 25-26)'!M327</f>
        <v>104.1</v>
      </c>
      <c r="I62" s="267">
        <f>'прил9 (ведом 25-26)'!N327</f>
        <v>111.9</v>
      </c>
    </row>
    <row r="63" spans="1:9" ht="36" x14ac:dyDescent="0.35">
      <c r="A63" s="434"/>
      <c r="B63" s="610" t="s">
        <v>74</v>
      </c>
      <c r="C63" s="799" t="s">
        <v>38</v>
      </c>
      <c r="D63" s="800" t="s">
        <v>44</v>
      </c>
      <c r="E63" s="800" t="s">
        <v>38</v>
      </c>
      <c r="F63" s="801" t="s">
        <v>553</v>
      </c>
      <c r="G63" s="55" t="s">
        <v>75</v>
      </c>
      <c r="H63" s="267">
        <f>'прил9 (ведом 25-26)'!M328</f>
        <v>12973.1</v>
      </c>
      <c r="I63" s="267">
        <f>'прил9 (ведом 25-26)'!N328</f>
        <v>12799.2</v>
      </c>
    </row>
    <row r="64" spans="1:9" ht="36" x14ac:dyDescent="0.35">
      <c r="A64" s="434"/>
      <c r="B64" s="610" t="s">
        <v>679</v>
      </c>
      <c r="C64" s="799" t="s">
        <v>38</v>
      </c>
      <c r="D64" s="800" t="s">
        <v>44</v>
      </c>
      <c r="E64" s="800" t="s">
        <v>680</v>
      </c>
      <c r="F64" s="801" t="s">
        <v>43</v>
      </c>
      <c r="G64" s="55"/>
      <c r="H64" s="267">
        <f>H65</f>
        <v>5745.9</v>
      </c>
      <c r="I64" s="267">
        <f>I65</f>
        <v>6946.4000000000005</v>
      </c>
    </row>
    <row r="65" spans="1:9" ht="72" x14ac:dyDescent="0.35">
      <c r="A65" s="434"/>
      <c r="B65" s="610" t="s">
        <v>681</v>
      </c>
      <c r="C65" s="799" t="s">
        <v>38</v>
      </c>
      <c r="D65" s="800" t="s">
        <v>44</v>
      </c>
      <c r="E65" s="800" t="s">
        <v>680</v>
      </c>
      <c r="F65" s="801" t="s">
        <v>682</v>
      </c>
      <c r="G65" s="55"/>
      <c r="H65" s="267">
        <f>H66+H67</f>
        <v>5745.9</v>
      </c>
      <c r="I65" s="267">
        <f>I66+I67</f>
        <v>6946.4000000000005</v>
      </c>
    </row>
    <row r="66" spans="1:9" ht="90" x14ac:dyDescent="0.35">
      <c r="A66" s="434"/>
      <c r="B66" s="610" t="s">
        <v>48</v>
      </c>
      <c r="C66" s="799" t="s">
        <v>38</v>
      </c>
      <c r="D66" s="800" t="s">
        <v>44</v>
      </c>
      <c r="E66" s="800" t="s">
        <v>680</v>
      </c>
      <c r="F66" s="801" t="s">
        <v>682</v>
      </c>
      <c r="G66" s="55" t="s">
        <v>49</v>
      </c>
      <c r="H66" s="267">
        <f>'прил9 (ведом 25-26)'!M331</f>
        <v>420.4</v>
      </c>
      <c r="I66" s="267">
        <f>'прил9 (ведом 25-26)'!N331</f>
        <v>508.3</v>
      </c>
    </row>
    <row r="67" spans="1:9" ht="36" x14ac:dyDescent="0.35">
      <c r="A67" s="434"/>
      <c r="B67" s="610" t="s">
        <v>74</v>
      </c>
      <c r="C67" s="799" t="s">
        <v>38</v>
      </c>
      <c r="D67" s="800" t="s">
        <v>44</v>
      </c>
      <c r="E67" s="800" t="s">
        <v>680</v>
      </c>
      <c r="F67" s="801" t="s">
        <v>682</v>
      </c>
      <c r="G67" s="55" t="s">
        <v>75</v>
      </c>
      <c r="H67" s="267">
        <f>'прил9 (ведом 25-26)'!M332</f>
        <v>5325.5</v>
      </c>
      <c r="I67" s="267">
        <f>'прил9 (ведом 25-26)'!N332</f>
        <v>6438.1</v>
      </c>
    </row>
    <row r="68" spans="1:9" ht="18" x14ac:dyDescent="0.35">
      <c r="A68" s="434"/>
      <c r="B68" s="606" t="s">
        <v>208</v>
      </c>
      <c r="C68" s="258" t="s">
        <v>38</v>
      </c>
      <c r="D68" s="259" t="s">
        <v>87</v>
      </c>
      <c r="E68" s="259" t="s">
        <v>42</v>
      </c>
      <c r="F68" s="260" t="s">
        <v>43</v>
      </c>
      <c r="G68" s="297"/>
      <c r="H68" s="267">
        <f>H69</f>
        <v>82500.599999999991</v>
      </c>
      <c r="I68" s="267">
        <f>I69</f>
        <v>81353</v>
      </c>
    </row>
    <row r="69" spans="1:9" ht="36" x14ac:dyDescent="0.35">
      <c r="A69" s="434"/>
      <c r="B69" s="606" t="s">
        <v>290</v>
      </c>
      <c r="C69" s="258" t="s">
        <v>38</v>
      </c>
      <c r="D69" s="259" t="s">
        <v>87</v>
      </c>
      <c r="E69" s="259" t="s">
        <v>36</v>
      </c>
      <c r="F69" s="260" t="s">
        <v>43</v>
      </c>
      <c r="G69" s="297"/>
      <c r="H69" s="267">
        <f>H70+H83+H85+H75+H78+H80</f>
        <v>82500.599999999991</v>
      </c>
      <c r="I69" s="267">
        <f>I70+I83+I85+I75+I78+I80</f>
        <v>81353</v>
      </c>
    </row>
    <row r="70" spans="1:9" ht="36" x14ac:dyDescent="0.35">
      <c r="A70" s="434"/>
      <c r="B70" s="606" t="s">
        <v>484</v>
      </c>
      <c r="C70" s="258" t="s">
        <v>38</v>
      </c>
      <c r="D70" s="259" t="s">
        <v>87</v>
      </c>
      <c r="E70" s="259" t="s">
        <v>36</v>
      </c>
      <c r="F70" s="260" t="s">
        <v>89</v>
      </c>
      <c r="G70" s="73"/>
      <c r="H70" s="267">
        <f>SUM(H71:H74)</f>
        <v>57892.800000000003</v>
      </c>
      <c r="I70" s="267">
        <f>SUM(I71:I74)</f>
        <v>57966.3</v>
      </c>
    </row>
    <row r="71" spans="1:9" ht="90" x14ac:dyDescent="0.35">
      <c r="A71" s="434"/>
      <c r="B71" s="607" t="s">
        <v>48</v>
      </c>
      <c r="C71" s="258" t="s">
        <v>38</v>
      </c>
      <c r="D71" s="259" t="s">
        <v>87</v>
      </c>
      <c r="E71" s="259" t="s">
        <v>36</v>
      </c>
      <c r="F71" s="260" t="s">
        <v>89</v>
      </c>
      <c r="G71" s="73" t="s">
        <v>49</v>
      </c>
      <c r="H71" s="267">
        <f>'прил9 (ведом 25-26)'!M387</f>
        <v>17038.2</v>
      </c>
      <c r="I71" s="267">
        <f>'прил9 (ведом 25-26)'!N387</f>
        <v>17038.2</v>
      </c>
    </row>
    <row r="72" spans="1:9" ht="36" x14ac:dyDescent="0.35">
      <c r="A72" s="434"/>
      <c r="B72" s="607" t="s">
        <v>53</v>
      </c>
      <c r="C72" s="258" t="s">
        <v>38</v>
      </c>
      <c r="D72" s="259" t="s">
        <v>87</v>
      </c>
      <c r="E72" s="259" t="s">
        <v>36</v>
      </c>
      <c r="F72" s="260" t="s">
        <v>89</v>
      </c>
      <c r="G72" s="73" t="s">
        <v>54</v>
      </c>
      <c r="H72" s="267">
        <f>'прил9 (ведом 25-26)'!M388</f>
        <v>1712.1</v>
      </c>
      <c r="I72" s="267">
        <f>'прил9 (ведом 25-26)'!N388</f>
        <v>1715.3</v>
      </c>
    </row>
    <row r="73" spans="1:9" ht="36" x14ac:dyDescent="0.35">
      <c r="A73" s="434"/>
      <c r="B73" s="606" t="s">
        <v>74</v>
      </c>
      <c r="C73" s="258" t="s">
        <v>38</v>
      </c>
      <c r="D73" s="259" t="s">
        <v>87</v>
      </c>
      <c r="E73" s="259" t="s">
        <v>36</v>
      </c>
      <c r="F73" s="260" t="s">
        <v>89</v>
      </c>
      <c r="G73" s="73" t="s">
        <v>75</v>
      </c>
      <c r="H73" s="267">
        <f>'прил9 (ведом 25-26)'!M342</f>
        <v>38846</v>
      </c>
      <c r="I73" s="267">
        <f>'прил9 (ведом 25-26)'!N342</f>
        <v>38922.800000000003</v>
      </c>
    </row>
    <row r="74" spans="1:9" ht="18" x14ac:dyDescent="0.35">
      <c r="A74" s="434"/>
      <c r="B74" s="607" t="s">
        <v>55</v>
      </c>
      <c r="C74" s="258" t="s">
        <v>38</v>
      </c>
      <c r="D74" s="259" t="s">
        <v>87</v>
      </c>
      <c r="E74" s="259" t="s">
        <v>36</v>
      </c>
      <c r="F74" s="260" t="s">
        <v>89</v>
      </c>
      <c r="G74" s="73" t="s">
        <v>56</v>
      </c>
      <c r="H74" s="267">
        <f>'прил9 (ведом 25-26)'!M389</f>
        <v>296.5</v>
      </c>
      <c r="I74" s="267">
        <f>'прил9 (ведом 25-26)'!N389</f>
        <v>290</v>
      </c>
    </row>
    <row r="75" spans="1:9" ht="36" x14ac:dyDescent="0.35">
      <c r="A75" s="434"/>
      <c r="B75" s="607" t="s">
        <v>205</v>
      </c>
      <c r="C75" s="258" t="s">
        <v>38</v>
      </c>
      <c r="D75" s="259" t="s">
        <v>87</v>
      </c>
      <c r="E75" s="259" t="s">
        <v>36</v>
      </c>
      <c r="F75" s="260" t="s">
        <v>287</v>
      </c>
      <c r="G75" s="73"/>
      <c r="H75" s="267">
        <f>H76+H77</f>
        <v>5320.7000000000007</v>
      </c>
      <c r="I75" s="267">
        <f>I76+I77</f>
        <v>4095.1</v>
      </c>
    </row>
    <row r="76" spans="1:9" ht="36" x14ac:dyDescent="0.35">
      <c r="A76" s="434"/>
      <c r="B76" s="607" t="s">
        <v>53</v>
      </c>
      <c r="C76" s="258" t="s">
        <v>38</v>
      </c>
      <c r="D76" s="259" t="s">
        <v>87</v>
      </c>
      <c r="E76" s="259" t="s">
        <v>36</v>
      </c>
      <c r="F76" s="260" t="s">
        <v>287</v>
      </c>
      <c r="G76" s="73" t="s">
        <v>54</v>
      </c>
      <c r="H76" s="267">
        <f>'прил9 (ведом 25-26)'!M391</f>
        <v>1066.5999999999999</v>
      </c>
      <c r="I76" s="267">
        <f>'прил9 (ведом 25-26)'!N391</f>
        <v>819.5</v>
      </c>
    </row>
    <row r="77" spans="1:9" ht="36" x14ac:dyDescent="0.35">
      <c r="A77" s="434"/>
      <c r="B77" s="611" t="s">
        <v>74</v>
      </c>
      <c r="C77" s="258" t="s">
        <v>38</v>
      </c>
      <c r="D77" s="259" t="s">
        <v>87</v>
      </c>
      <c r="E77" s="259" t="s">
        <v>36</v>
      </c>
      <c r="F77" s="260" t="s">
        <v>287</v>
      </c>
      <c r="G77" s="73" t="s">
        <v>75</v>
      </c>
      <c r="H77" s="267">
        <f>'прил9 (ведом 25-26)'!M344</f>
        <v>4254.1000000000004</v>
      </c>
      <c r="I77" s="267">
        <f>'прил9 (ведом 25-26)'!N344</f>
        <v>3275.6</v>
      </c>
    </row>
    <row r="78" spans="1:9" ht="36" x14ac:dyDescent="0.35">
      <c r="A78" s="434"/>
      <c r="B78" s="610" t="s">
        <v>206</v>
      </c>
      <c r="C78" s="799" t="s">
        <v>38</v>
      </c>
      <c r="D78" s="800" t="s">
        <v>87</v>
      </c>
      <c r="E78" s="800" t="s">
        <v>36</v>
      </c>
      <c r="F78" s="801" t="s">
        <v>288</v>
      </c>
      <c r="G78" s="55"/>
      <c r="H78" s="267">
        <f>H79</f>
        <v>46.9</v>
      </c>
      <c r="I78" s="267">
        <f>I79</f>
        <v>46.9</v>
      </c>
    </row>
    <row r="79" spans="1:9" ht="36" x14ac:dyDescent="0.35">
      <c r="A79" s="434"/>
      <c r="B79" s="677" t="s">
        <v>74</v>
      </c>
      <c r="C79" s="799" t="s">
        <v>38</v>
      </c>
      <c r="D79" s="800" t="s">
        <v>87</v>
      </c>
      <c r="E79" s="800" t="s">
        <v>36</v>
      </c>
      <c r="F79" s="801" t="s">
        <v>288</v>
      </c>
      <c r="G79" s="55" t="s">
        <v>75</v>
      </c>
      <c r="H79" s="267">
        <f>'прил9 (ведом 25-26)'!M346</f>
        <v>46.9</v>
      </c>
      <c r="I79" s="267">
        <f>'прил9 (ведом 25-26)'!N346</f>
        <v>46.9</v>
      </c>
    </row>
    <row r="80" spans="1:9" ht="54" x14ac:dyDescent="0.35">
      <c r="A80" s="434"/>
      <c r="B80" s="677" t="s">
        <v>689</v>
      </c>
      <c r="C80" s="799" t="s">
        <v>38</v>
      </c>
      <c r="D80" s="800" t="s">
        <v>87</v>
      </c>
      <c r="E80" s="800" t="s">
        <v>36</v>
      </c>
      <c r="F80" s="801" t="s">
        <v>690</v>
      </c>
      <c r="G80" s="55"/>
      <c r="H80" s="267">
        <f>H81+H82</f>
        <v>6127.5</v>
      </c>
      <c r="I80" s="267">
        <f>I81+I82</f>
        <v>6127.5</v>
      </c>
    </row>
    <row r="81" spans="1:9" ht="36" x14ac:dyDescent="0.35">
      <c r="A81" s="434"/>
      <c r="B81" s="677" t="s">
        <v>74</v>
      </c>
      <c r="C81" s="799" t="s">
        <v>38</v>
      </c>
      <c r="D81" s="800" t="s">
        <v>87</v>
      </c>
      <c r="E81" s="800" t="s">
        <v>36</v>
      </c>
      <c r="F81" s="801" t="s">
        <v>690</v>
      </c>
      <c r="G81" s="55" t="s">
        <v>75</v>
      </c>
      <c r="H81" s="267">
        <f>'прил9 (ведом 25-26)'!M348</f>
        <v>6072.6</v>
      </c>
      <c r="I81" s="267">
        <f>'прил9 (ведом 25-26)'!N348</f>
        <v>6072.6</v>
      </c>
    </row>
    <row r="82" spans="1:9" ht="18" x14ac:dyDescent="0.35">
      <c r="A82" s="434"/>
      <c r="B82" s="677" t="s">
        <v>55</v>
      </c>
      <c r="C82" s="799" t="s">
        <v>38</v>
      </c>
      <c r="D82" s="800" t="s">
        <v>87</v>
      </c>
      <c r="E82" s="800" t="s">
        <v>36</v>
      </c>
      <c r="F82" s="801" t="s">
        <v>690</v>
      </c>
      <c r="G82" s="55" t="s">
        <v>56</v>
      </c>
      <c r="H82" s="267">
        <f>'прил9 (ведом 25-26)'!M349</f>
        <v>54.9</v>
      </c>
      <c r="I82" s="267">
        <f>'прил9 (ведом 25-26)'!N349</f>
        <v>54.9</v>
      </c>
    </row>
    <row r="83" spans="1:9" ht="162" x14ac:dyDescent="0.35">
      <c r="A83" s="434"/>
      <c r="B83" s="606" t="s">
        <v>282</v>
      </c>
      <c r="C83" s="258" t="s">
        <v>38</v>
      </c>
      <c r="D83" s="259" t="s">
        <v>87</v>
      </c>
      <c r="E83" s="259" t="s">
        <v>36</v>
      </c>
      <c r="F83" s="260" t="s">
        <v>283</v>
      </c>
      <c r="G83" s="73"/>
      <c r="H83" s="267">
        <f>H84</f>
        <v>112.7</v>
      </c>
      <c r="I83" s="267">
        <f>I84</f>
        <v>117.2</v>
      </c>
    </row>
    <row r="84" spans="1:9" ht="36" x14ac:dyDescent="0.35">
      <c r="A84" s="434"/>
      <c r="B84" s="607" t="s">
        <v>74</v>
      </c>
      <c r="C84" s="258" t="s">
        <v>38</v>
      </c>
      <c r="D84" s="259" t="s">
        <v>87</v>
      </c>
      <c r="E84" s="259" t="s">
        <v>36</v>
      </c>
      <c r="F84" s="260" t="s">
        <v>283</v>
      </c>
      <c r="G84" s="73" t="s">
        <v>75</v>
      </c>
      <c r="H84" s="267">
        <f>'прил9 (ведом 25-26)'!M351</f>
        <v>112.7</v>
      </c>
      <c r="I84" s="267">
        <f>'прил9 (ведом 25-26)'!N351</f>
        <v>117.2</v>
      </c>
    </row>
    <row r="85" spans="1:9" ht="90" x14ac:dyDescent="0.35">
      <c r="A85" s="434"/>
      <c r="B85" s="607" t="s">
        <v>365</v>
      </c>
      <c r="C85" s="258" t="s">
        <v>38</v>
      </c>
      <c r="D85" s="259" t="s">
        <v>87</v>
      </c>
      <c r="E85" s="259" t="s">
        <v>36</v>
      </c>
      <c r="F85" s="260" t="s">
        <v>284</v>
      </c>
      <c r="G85" s="73"/>
      <c r="H85" s="267">
        <f>H86</f>
        <v>13000</v>
      </c>
      <c r="I85" s="267">
        <f>I86</f>
        <v>13000</v>
      </c>
    </row>
    <row r="86" spans="1:9" ht="36" x14ac:dyDescent="0.35">
      <c r="A86" s="434"/>
      <c r="B86" s="607" t="s">
        <v>74</v>
      </c>
      <c r="C86" s="258" t="s">
        <v>38</v>
      </c>
      <c r="D86" s="259" t="s">
        <v>87</v>
      </c>
      <c r="E86" s="259" t="s">
        <v>36</v>
      </c>
      <c r="F86" s="260" t="s">
        <v>284</v>
      </c>
      <c r="G86" s="73" t="s">
        <v>75</v>
      </c>
      <c r="H86" s="267">
        <f>'прил9 (ведом 25-26)'!M353</f>
        <v>13000</v>
      </c>
      <c r="I86" s="267">
        <f>'прил9 (ведом 25-26)'!N353</f>
        <v>13000</v>
      </c>
    </row>
    <row r="87" spans="1:9" ht="36" x14ac:dyDescent="0.35">
      <c r="A87" s="434"/>
      <c r="B87" s="606" t="s">
        <v>210</v>
      </c>
      <c r="C87" s="258" t="s">
        <v>38</v>
      </c>
      <c r="D87" s="259" t="s">
        <v>29</v>
      </c>
      <c r="E87" s="259" t="s">
        <v>42</v>
      </c>
      <c r="F87" s="260" t="s">
        <v>43</v>
      </c>
      <c r="G87" s="297"/>
      <c r="H87" s="267">
        <f>H88+H103+H106+H109+H112</f>
        <v>95544.900000000009</v>
      </c>
      <c r="I87" s="267">
        <f>I88+I103+I106+I109+I112</f>
        <v>96166.5</v>
      </c>
    </row>
    <row r="88" spans="1:9" ht="36" x14ac:dyDescent="0.35">
      <c r="A88" s="434"/>
      <c r="B88" s="606" t="s">
        <v>296</v>
      </c>
      <c r="C88" s="258" t="s">
        <v>38</v>
      </c>
      <c r="D88" s="259" t="s">
        <v>29</v>
      </c>
      <c r="E88" s="259" t="s">
        <v>36</v>
      </c>
      <c r="F88" s="260" t="s">
        <v>43</v>
      </c>
      <c r="G88" s="297"/>
      <c r="H88" s="267">
        <f>H89+H93+H101+H98</f>
        <v>89099.700000000012</v>
      </c>
      <c r="I88" s="267">
        <f>I89+I93+I101+I98</f>
        <v>89490.8</v>
      </c>
    </row>
    <row r="89" spans="1:9" ht="36" x14ac:dyDescent="0.35">
      <c r="A89" s="434"/>
      <c r="B89" s="606" t="s">
        <v>46</v>
      </c>
      <c r="C89" s="258" t="s">
        <v>38</v>
      </c>
      <c r="D89" s="259" t="s">
        <v>29</v>
      </c>
      <c r="E89" s="259" t="s">
        <v>36</v>
      </c>
      <c r="F89" s="260" t="s">
        <v>47</v>
      </c>
      <c r="G89" s="73"/>
      <c r="H89" s="267">
        <f>SUM(H90:H92)</f>
        <v>14320.5</v>
      </c>
      <c r="I89" s="267">
        <f>SUM(I90:I92)</f>
        <v>14327.400000000001</v>
      </c>
    </row>
    <row r="90" spans="1:9" ht="90" x14ac:dyDescent="0.35">
      <c r="A90" s="434"/>
      <c r="B90" s="606" t="s">
        <v>48</v>
      </c>
      <c r="C90" s="258" t="s">
        <v>38</v>
      </c>
      <c r="D90" s="259" t="s">
        <v>29</v>
      </c>
      <c r="E90" s="259" t="s">
        <v>36</v>
      </c>
      <c r="F90" s="260" t="s">
        <v>47</v>
      </c>
      <c r="G90" s="73" t="s">
        <v>49</v>
      </c>
      <c r="H90" s="267">
        <f>'прил9 (ведом 25-26)'!M359</f>
        <v>13219.6</v>
      </c>
      <c r="I90" s="267">
        <f>'прил9 (ведом 25-26)'!N359</f>
        <v>13219.6</v>
      </c>
    </row>
    <row r="91" spans="1:9" ht="36" x14ac:dyDescent="0.35">
      <c r="A91" s="434"/>
      <c r="B91" s="606" t="s">
        <v>53</v>
      </c>
      <c r="C91" s="258" t="s">
        <v>38</v>
      </c>
      <c r="D91" s="259" t="s">
        <v>29</v>
      </c>
      <c r="E91" s="259" t="s">
        <v>36</v>
      </c>
      <c r="F91" s="260" t="s">
        <v>47</v>
      </c>
      <c r="G91" s="73" t="s">
        <v>54</v>
      </c>
      <c r="H91" s="267">
        <f>'прил9 (ведом 25-26)'!M360</f>
        <v>1084.5999999999999</v>
      </c>
      <c r="I91" s="267">
        <f>'прил9 (ведом 25-26)'!N360</f>
        <v>1091.7</v>
      </c>
    </row>
    <row r="92" spans="1:9" ht="18" x14ac:dyDescent="0.35">
      <c r="A92" s="434"/>
      <c r="B92" s="606" t="s">
        <v>55</v>
      </c>
      <c r="C92" s="258" t="s">
        <v>38</v>
      </c>
      <c r="D92" s="259" t="s">
        <v>29</v>
      </c>
      <c r="E92" s="259" t="s">
        <v>36</v>
      </c>
      <c r="F92" s="260" t="s">
        <v>47</v>
      </c>
      <c r="G92" s="73" t="s">
        <v>56</v>
      </c>
      <c r="H92" s="267">
        <f>'прил9 (ведом 25-26)'!M361</f>
        <v>16.3</v>
      </c>
      <c r="I92" s="267">
        <f>'прил9 (ведом 25-26)'!N361</f>
        <v>16.100000000000001</v>
      </c>
    </row>
    <row r="93" spans="1:9" ht="36" x14ac:dyDescent="0.35">
      <c r="A93" s="434"/>
      <c r="B93" s="606" t="s">
        <v>484</v>
      </c>
      <c r="C93" s="258" t="s">
        <v>38</v>
      </c>
      <c r="D93" s="259" t="s">
        <v>29</v>
      </c>
      <c r="E93" s="259" t="s">
        <v>36</v>
      </c>
      <c r="F93" s="260" t="s">
        <v>89</v>
      </c>
      <c r="G93" s="73"/>
      <c r="H93" s="267">
        <f>SUM(H94:H97)</f>
        <v>64489.1</v>
      </c>
      <c r="I93" s="267">
        <f>SUM(I94:I97)</f>
        <v>64522.499999999993</v>
      </c>
    </row>
    <row r="94" spans="1:9" ht="90" x14ac:dyDescent="0.35">
      <c r="A94" s="434"/>
      <c r="B94" s="606" t="s">
        <v>48</v>
      </c>
      <c r="C94" s="258" t="s">
        <v>38</v>
      </c>
      <c r="D94" s="259" t="s">
        <v>29</v>
      </c>
      <c r="E94" s="259" t="s">
        <v>36</v>
      </c>
      <c r="F94" s="260" t="s">
        <v>89</v>
      </c>
      <c r="G94" s="73" t="s">
        <v>49</v>
      </c>
      <c r="H94" s="267">
        <f>'прил9 (ведом 25-26)'!M363</f>
        <v>40001.199999999997</v>
      </c>
      <c r="I94" s="267">
        <f>'прил9 (ведом 25-26)'!N363</f>
        <v>40001.199999999997</v>
      </c>
    </row>
    <row r="95" spans="1:9" ht="36" x14ac:dyDescent="0.35">
      <c r="A95" s="434"/>
      <c r="B95" s="606" t="s">
        <v>53</v>
      </c>
      <c r="C95" s="258" t="s">
        <v>38</v>
      </c>
      <c r="D95" s="259" t="s">
        <v>29</v>
      </c>
      <c r="E95" s="259" t="s">
        <v>36</v>
      </c>
      <c r="F95" s="260" t="s">
        <v>89</v>
      </c>
      <c r="G95" s="73" t="s">
        <v>54</v>
      </c>
      <c r="H95" s="267">
        <f>'прил9 (ведом 25-26)'!M364</f>
        <v>3290.9</v>
      </c>
      <c r="I95" s="267">
        <f>'прил9 (ведом 25-26)'!N364</f>
        <v>3121.7</v>
      </c>
    </row>
    <row r="96" spans="1:9" ht="36" x14ac:dyDescent="0.35">
      <c r="A96" s="434"/>
      <c r="B96" s="607" t="s">
        <v>74</v>
      </c>
      <c r="C96" s="258" t="s">
        <v>38</v>
      </c>
      <c r="D96" s="259" t="s">
        <v>29</v>
      </c>
      <c r="E96" s="259" t="s">
        <v>36</v>
      </c>
      <c r="F96" s="260" t="s">
        <v>89</v>
      </c>
      <c r="G96" s="73" t="s">
        <v>75</v>
      </c>
      <c r="H96" s="267">
        <f>'прил9 (ведом 25-26)'!M365</f>
        <v>21192.9</v>
      </c>
      <c r="I96" s="267">
        <f>'прил9 (ведом 25-26)'!N365</f>
        <v>21396.2</v>
      </c>
    </row>
    <row r="97" spans="1:9" ht="18" x14ac:dyDescent="0.35">
      <c r="A97" s="434"/>
      <c r="B97" s="607" t="s">
        <v>55</v>
      </c>
      <c r="C97" s="258" t="s">
        <v>38</v>
      </c>
      <c r="D97" s="259" t="s">
        <v>29</v>
      </c>
      <c r="E97" s="259" t="s">
        <v>36</v>
      </c>
      <c r="F97" s="260" t="s">
        <v>89</v>
      </c>
      <c r="G97" s="73" t="s">
        <v>56</v>
      </c>
      <c r="H97" s="267">
        <f>'прил9 (ведом 25-26)'!M366</f>
        <v>4.0999999999999996</v>
      </c>
      <c r="I97" s="267">
        <f>'прил9 (ведом 25-26)'!N366</f>
        <v>3.4</v>
      </c>
    </row>
    <row r="98" spans="1:9" ht="90" x14ac:dyDescent="0.35">
      <c r="A98" s="434"/>
      <c r="B98" s="607" t="s">
        <v>365</v>
      </c>
      <c r="C98" s="258" t="s">
        <v>38</v>
      </c>
      <c r="D98" s="259" t="s">
        <v>29</v>
      </c>
      <c r="E98" s="259" t="s">
        <v>36</v>
      </c>
      <c r="F98" s="260" t="s">
        <v>284</v>
      </c>
      <c r="G98" s="73"/>
      <c r="H98" s="267">
        <f>SUM(H99:H100)</f>
        <v>7998.6</v>
      </c>
      <c r="I98" s="267">
        <f>SUM(I99:I100)</f>
        <v>8378.6</v>
      </c>
    </row>
    <row r="99" spans="1:9" ht="90" x14ac:dyDescent="0.35">
      <c r="A99" s="434"/>
      <c r="B99" s="607" t="s">
        <v>48</v>
      </c>
      <c r="C99" s="258" t="s">
        <v>38</v>
      </c>
      <c r="D99" s="259" t="s">
        <v>29</v>
      </c>
      <c r="E99" s="259" t="s">
        <v>36</v>
      </c>
      <c r="F99" s="260" t="s">
        <v>284</v>
      </c>
      <c r="G99" s="73" t="s">
        <v>49</v>
      </c>
      <c r="H99" s="267">
        <f>'прил9 (ведом 25-26)'!M368</f>
        <v>7200</v>
      </c>
      <c r="I99" s="267">
        <f>'прил9 (ведом 25-26)'!N368</f>
        <v>7200</v>
      </c>
    </row>
    <row r="100" spans="1:9" ht="36" x14ac:dyDescent="0.35">
      <c r="A100" s="434"/>
      <c r="B100" s="610" t="s">
        <v>53</v>
      </c>
      <c r="C100" s="799" t="s">
        <v>38</v>
      </c>
      <c r="D100" s="800" t="s">
        <v>29</v>
      </c>
      <c r="E100" s="800" t="s">
        <v>36</v>
      </c>
      <c r="F100" s="801" t="s">
        <v>284</v>
      </c>
      <c r="G100" s="55" t="s">
        <v>54</v>
      </c>
      <c r="H100" s="267">
        <f>'прил9 (ведом 25-26)'!M369</f>
        <v>798.6</v>
      </c>
      <c r="I100" s="267">
        <f>'прил9 (ведом 25-26)'!N369</f>
        <v>1178.5999999999999</v>
      </c>
    </row>
    <row r="101" spans="1:9" ht="216" x14ac:dyDescent="0.35">
      <c r="A101" s="434"/>
      <c r="B101" s="607" t="s">
        <v>454</v>
      </c>
      <c r="C101" s="258" t="s">
        <v>38</v>
      </c>
      <c r="D101" s="259" t="s">
        <v>29</v>
      </c>
      <c r="E101" s="259" t="s">
        <v>36</v>
      </c>
      <c r="F101" s="260" t="s">
        <v>366</v>
      </c>
      <c r="G101" s="73"/>
      <c r="H101" s="267">
        <f>SUM(H102:H102)</f>
        <v>2291.5</v>
      </c>
      <c r="I101" s="267">
        <f>SUM(I102:I102)</f>
        <v>2262.3000000000002</v>
      </c>
    </row>
    <row r="102" spans="1:9" ht="36" x14ac:dyDescent="0.35">
      <c r="A102" s="434"/>
      <c r="B102" s="607" t="s">
        <v>74</v>
      </c>
      <c r="C102" s="258" t="s">
        <v>38</v>
      </c>
      <c r="D102" s="259" t="s">
        <v>29</v>
      </c>
      <c r="E102" s="259" t="s">
        <v>36</v>
      </c>
      <c r="F102" s="260" t="s">
        <v>366</v>
      </c>
      <c r="G102" s="73" t="s">
        <v>75</v>
      </c>
      <c r="H102" s="267">
        <f>'прил9 (ведом 25-26)'!M336</f>
        <v>2291.5</v>
      </c>
      <c r="I102" s="267">
        <f>'прил9 (ведом 25-26)'!N336</f>
        <v>2262.3000000000002</v>
      </c>
    </row>
    <row r="103" spans="1:9" ht="36" x14ac:dyDescent="0.35">
      <c r="A103" s="434"/>
      <c r="B103" s="607" t="s">
        <v>295</v>
      </c>
      <c r="C103" s="258" t="s">
        <v>38</v>
      </c>
      <c r="D103" s="259" t="s">
        <v>29</v>
      </c>
      <c r="E103" s="259" t="s">
        <v>38</v>
      </c>
      <c r="F103" s="260" t="s">
        <v>43</v>
      </c>
      <c r="G103" s="73"/>
      <c r="H103" s="267">
        <f>H104</f>
        <v>5790.9</v>
      </c>
      <c r="I103" s="267">
        <f>I104</f>
        <v>6022</v>
      </c>
    </row>
    <row r="104" spans="1:9" ht="108" x14ac:dyDescent="0.35">
      <c r="A104" s="434"/>
      <c r="B104" s="607" t="s">
        <v>461</v>
      </c>
      <c r="C104" s="258" t="s">
        <v>38</v>
      </c>
      <c r="D104" s="259" t="s">
        <v>29</v>
      </c>
      <c r="E104" s="259" t="s">
        <v>38</v>
      </c>
      <c r="F104" s="260" t="s">
        <v>460</v>
      </c>
      <c r="G104" s="73"/>
      <c r="H104" s="267">
        <f>H105</f>
        <v>5790.9</v>
      </c>
      <c r="I104" s="267">
        <f>I105</f>
        <v>6022</v>
      </c>
    </row>
    <row r="105" spans="1:9" ht="36" x14ac:dyDescent="0.35">
      <c r="A105" s="434"/>
      <c r="B105" s="607" t="s">
        <v>74</v>
      </c>
      <c r="C105" s="258" t="s">
        <v>38</v>
      </c>
      <c r="D105" s="259" t="s">
        <v>29</v>
      </c>
      <c r="E105" s="259" t="s">
        <v>38</v>
      </c>
      <c r="F105" s="260" t="s">
        <v>460</v>
      </c>
      <c r="G105" s="73" t="s">
        <v>75</v>
      </c>
      <c r="H105" s="267">
        <f>'прил9 (ведом 25-26)'!M372</f>
        <v>5790.9</v>
      </c>
      <c r="I105" s="267">
        <f>'прил9 (ведом 25-26)'!N372</f>
        <v>6022</v>
      </c>
    </row>
    <row r="106" spans="1:9" ht="36" x14ac:dyDescent="0.35">
      <c r="A106" s="434"/>
      <c r="B106" s="612" t="s">
        <v>371</v>
      </c>
      <c r="C106" s="792" t="s">
        <v>38</v>
      </c>
      <c r="D106" s="793" t="s">
        <v>29</v>
      </c>
      <c r="E106" s="793" t="s">
        <v>61</v>
      </c>
      <c r="F106" s="794" t="s">
        <v>43</v>
      </c>
      <c r="G106" s="297"/>
      <c r="H106" s="267">
        <f>H107</f>
        <v>515.5</v>
      </c>
      <c r="I106" s="267">
        <f>I107</f>
        <v>515.5</v>
      </c>
    </row>
    <row r="107" spans="1:9" ht="54" x14ac:dyDescent="0.35">
      <c r="A107" s="434"/>
      <c r="B107" s="612" t="s">
        <v>492</v>
      </c>
      <c r="C107" s="792" t="s">
        <v>38</v>
      </c>
      <c r="D107" s="793" t="s">
        <v>29</v>
      </c>
      <c r="E107" s="793" t="s">
        <v>61</v>
      </c>
      <c r="F107" s="794" t="s">
        <v>103</v>
      </c>
      <c r="G107" s="297"/>
      <c r="H107" s="267">
        <f>H108</f>
        <v>515.5</v>
      </c>
      <c r="I107" s="267">
        <f>I108</f>
        <v>515.5</v>
      </c>
    </row>
    <row r="108" spans="1:9" ht="36" x14ac:dyDescent="0.35">
      <c r="A108" s="434"/>
      <c r="B108" s="612" t="s">
        <v>53</v>
      </c>
      <c r="C108" s="792" t="s">
        <v>38</v>
      </c>
      <c r="D108" s="793" t="s">
        <v>29</v>
      </c>
      <c r="E108" s="793" t="s">
        <v>61</v>
      </c>
      <c r="F108" s="794" t="s">
        <v>103</v>
      </c>
      <c r="G108" s="297" t="s">
        <v>54</v>
      </c>
      <c r="H108" s="267">
        <f>'прил9 (ведом 25-26)'!M271</f>
        <v>515.5</v>
      </c>
      <c r="I108" s="267">
        <f>'прил9 (ведом 25-26)'!N271</f>
        <v>515.5</v>
      </c>
    </row>
    <row r="109" spans="1:9" ht="36" x14ac:dyDescent="0.35">
      <c r="A109" s="434"/>
      <c r="B109" s="612" t="s">
        <v>488</v>
      </c>
      <c r="C109" s="792" t="s">
        <v>38</v>
      </c>
      <c r="D109" s="793" t="s">
        <v>29</v>
      </c>
      <c r="E109" s="793" t="s">
        <v>50</v>
      </c>
      <c r="F109" s="794" t="s">
        <v>43</v>
      </c>
      <c r="G109" s="297"/>
      <c r="H109" s="267">
        <f>H110</f>
        <v>24</v>
      </c>
      <c r="I109" s="267">
        <f>I110</f>
        <v>24</v>
      </c>
    </row>
    <row r="110" spans="1:9" ht="18" x14ac:dyDescent="0.35">
      <c r="A110" s="434"/>
      <c r="B110" s="612" t="s">
        <v>493</v>
      </c>
      <c r="C110" s="792" t="s">
        <v>38</v>
      </c>
      <c r="D110" s="793" t="s">
        <v>29</v>
      </c>
      <c r="E110" s="793" t="s">
        <v>50</v>
      </c>
      <c r="F110" s="794" t="s">
        <v>487</v>
      </c>
      <c r="G110" s="297"/>
      <c r="H110" s="267">
        <f>H111</f>
        <v>24</v>
      </c>
      <c r="I110" s="267">
        <f>I111</f>
        <v>24</v>
      </c>
    </row>
    <row r="111" spans="1:9" ht="36" x14ac:dyDescent="0.35">
      <c r="A111" s="434"/>
      <c r="B111" s="612" t="s">
        <v>53</v>
      </c>
      <c r="C111" s="792" t="s">
        <v>38</v>
      </c>
      <c r="D111" s="793" t="s">
        <v>29</v>
      </c>
      <c r="E111" s="793" t="s">
        <v>50</v>
      </c>
      <c r="F111" s="794" t="s">
        <v>487</v>
      </c>
      <c r="G111" s="297" t="s">
        <v>54</v>
      </c>
      <c r="H111" s="267">
        <f>'прил9 (ведом 25-26)'!M274</f>
        <v>24</v>
      </c>
      <c r="I111" s="267">
        <f>'прил9 (ведом 25-26)'!N274</f>
        <v>24</v>
      </c>
    </row>
    <row r="112" spans="1:9" ht="36" x14ac:dyDescent="0.35">
      <c r="A112" s="434"/>
      <c r="B112" s="612" t="s">
        <v>491</v>
      </c>
      <c r="C112" s="792" t="s">
        <v>38</v>
      </c>
      <c r="D112" s="793" t="s">
        <v>29</v>
      </c>
      <c r="E112" s="793" t="s">
        <v>63</v>
      </c>
      <c r="F112" s="794" t="s">
        <v>43</v>
      </c>
      <c r="G112" s="297"/>
      <c r="H112" s="267">
        <f>H113</f>
        <v>114.8</v>
      </c>
      <c r="I112" s="267">
        <f>I113</f>
        <v>114.2</v>
      </c>
    </row>
    <row r="113" spans="1:9" ht="36" x14ac:dyDescent="0.35">
      <c r="A113" s="434"/>
      <c r="B113" s="612" t="s">
        <v>125</v>
      </c>
      <c r="C113" s="792" t="s">
        <v>38</v>
      </c>
      <c r="D113" s="793" t="s">
        <v>29</v>
      </c>
      <c r="E113" s="793" t="s">
        <v>63</v>
      </c>
      <c r="F113" s="794" t="s">
        <v>88</v>
      </c>
      <c r="G113" s="297"/>
      <c r="H113" s="267">
        <f>H114</f>
        <v>114.8</v>
      </c>
      <c r="I113" s="267">
        <f>I114</f>
        <v>114.2</v>
      </c>
    </row>
    <row r="114" spans="1:9" ht="36" x14ac:dyDescent="0.35">
      <c r="A114" s="434"/>
      <c r="B114" s="612" t="s">
        <v>53</v>
      </c>
      <c r="C114" s="792" t="s">
        <v>38</v>
      </c>
      <c r="D114" s="793" t="s">
        <v>29</v>
      </c>
      <c r="E114" s="793" t="s">
        <v>63</v>
      </c>
      <c r="F114" s="794" t="s">
        <v>88</v>
      </c>
      <c r="G114" s="297" t="s">
        <v>54</v>
      </c>
      <c r="H114" s="267">
        <f>'прил9 (ведом 25-26)'!M277</f>
        <v>114.8</v>
      </c>
      <c r="I114" s="267">
        <f>'прил9 (ведом 25-26)'!N277</f>
        <v>114.2</v>
      </c>
    </row>
    <row r="115" spans="1:9" ht="18" x14ac:dyDescent="0.35">
      <c r="A115" s="434"/>
      <c r="B115" s="613"/>
      <c r="C115" s="792"/>
      <c r="D115" s="793"/>
      <c r="E115" s="793"/>
      <c r="F115" s="794"/>
      <c r="G115" s="297"/>
      <c r="H115" s="267"/>
      <c r="I115" s="267"/>
    </row>
    <row r="116" spans="1:9" s="444" customFormat="1" ht="52.2" x14ac:dyDescent="0.3">
      <c r="A116" s="449">
        <v>2</v>
      </c>
      <c r="B116" s="605" t="s">
        <v>211</v>
      </c>
      <c r="C116" s="450" t="s">
        <v>61</v>
      </c>
      <c r="D116" s="450" t="s">
        <v>41</v>
      </c>
      <c r="E116" s="450" t="s">
        <v>42</v>
      </c>
      <c r="F116" s="451" t="s">
        <v>43</v>
      </c>
      <c r="G116" s="443"/>
      <c r="H116" s="310">
        <f>H117+H142+H136</f>
        <v>118607.00000000001</v>
      </c>
      <c r="I116" s="310">
        <f>I117+I142+I136</f>
        <v>118644.40000000001</v>
      </c>
    </row>
    <row r="117" spans="1:9" s="444" customFormat="1" ht="54" x14ac:dyDescent="0.35">
      <c r="A117" s="434"/>
      <c r="B117" s="614" t="s">
        <v>212</v>
      </c>
      <c r="C117" s="258" t="s">
        <v>61</v>
      </c>
      <c r="D117" s="259" t="s">
        <v>44</v>
      </c>
      <c r="E117" s="259" t="s">
        <v>42</v>
      </c>
      <c r="F117" s="260" t="s">
        <v>43</v>
      </c>
      <c r="G117" s="297"/>
      <c r="H117" s="267">
        <f>H118+H123+H126+H133</f>
        <v>105917.30000000002</v>
      </c>
      <c r="I117" s="267">
        <f>I118+I123+I126+I133</f>
        <v>105969.90000000001</v>
      </c>
    </row>
    <row r="118" spans="1:9" s="444" customFormat="1" ht="36" x14ac:dyDescent="0.35">
      <c r="A118" s="434"/>
      <c r="B118" s="614" t="s">
        <v>290</v>
      </c>
      <c r="C118" s="258" t="s">
        <v>61</v>
      </c>
      <c r="D118" s="259" t="s">
        <v>44</v>
      </c>
      <c r="E118" s="259" t="s">
        <v>36</v>
      </c>
      <c r="F118" s="260" t="s">
        <v>43</v>
      </c>
      <c r="G118" s="297"/>
      <c r="H118" s="267">
        <f>H119+H121</f>
        <v>73887.700000000012</v>
      </c>
      <c r="I118" s="267">
        <f>I119+I121</f>
        <v>73941.100000000006</v>
      </c>
    </row>
    <row r="119" spans="1:9" s="444" customFormat="1" ht="36" x14ac:dyDescent="0.35">
      <c r="A119" s="434"/>
      <c r="B119" s="606" t="s">
        <v>484</v>
      </c>
      <c r="C119" s="258" t="s">
        <v>61</v>
      </c>
      <c r="D119" s="259" t="s">
        <v>44</v>
      </c>
      <c r="E119" s="259" t="s">
        <v>36</v>
      </c>
      <c r="F119" s="260" t="s">
        <v>89</v>
      </c>
      <c r="G119" s="73"/>
      <c r="H119" s="267">
        <f>H120</f>
        <v>66324.600000000006</v>
      </c>
      <c r="I119" s="267">
        <f>I120</f>
        <v>66378</v>
      </c>
    </row>
    <row r="120" spans="1:9" s="444" customFormat="1" ht="36" x14ac:dyDescent="0.35">
      <c r="A120" s="434"/>
      <c r="B120" s="609" t="s">
        <v>74</v>
      </c>
      <c r="C120" s="258" t="s">
        <v>61</v>
      </c>
      <c r="D120" s="259" t="s">
        <v>44</v>
      </c>
      <c r="E120" s="259" t="s">
        <v>36</v>
      </c>
      <c r="F120" s="260" t="s">
        <v>89</v>
      </c>
      <c r="G120" s="73" t="s">
        <v>75</v>
      </c>
      <c r="H120" s="267">
        <f>'прил9 (ведом 25-26)'!M407</f>
        <v>66324.600000000006</v>
      </c>
      <c r="I120" s="267">
        <f>'прил9 (ведом 25-26)'!N407</f>
        <v>66378</v>
      </c>
    </row>
    <row r="121" spans="1:9" s="444" customFormat="1" ht="36" x14ac:dyDescent="0.35">
      <c r="A121" s="434"/>
      <c r="B121" s="615" t="s">
        <v>335</v>
      </c>
      <c r="C121" s="258" t="s">
        <v>61</v>
      </c>
      <c r="D121" s="259" t="s">
        <v>44</v>
      </c>
      <c r="E121" s="259" t="s">
        <v>36</v>
      </c>
      <c r="F121" s="260" t="s">
        <v>336</v>
      </c>
      <c r="G121" s="73"/>
      <c r="H121" s="267">
        <f>'прил9 (ведом 25-26)'!M408</f>
        <v>7563.1</v>
      </c>
      <c r="I121" s="267">
        <f>'прил9 (ведом 25-26)'!N408</f>
        <v>7563.1</v>
      </c>
    </row>
    <row r="122" spans="1:9" s="444" customFormat="1" ht="36" x14ac:dyDescent="0.35">
      <c r="A122" s="434"/>
      <c r="B122" s="615" t="s">
        <v>74</v>
      </c>
      <c r="C122" s="258" t="s">
        <v>61</v>
      </c>
      <c r="D122" s="259" t="s">
        <v>44</v>
      </c>
      <c r="E122" s="259" t="s">
        <v>36</v>
      </c>
      <c r="F122" s="260" t="s">
        <v>336</v>
      </c>
      <c r="G122" s="73" t="s">
        <v>75</v>
      </c>
      <c r="H122" s="267">
        <f>'прил9 (ведом 25-26)'!M409</f>
        <v>7563.1</v>
      </c>
      <c r="I122" s="267">
        <f>'прил9 (ведом 25-26)'!N409</f>
        <v>7563.1</v>
      </c>
    </row>
    <row r="123" spans="1:9" s="444" customFormat="1" ht="18" x14ac:dyDescent="0.35">
      <c r="A123" s="434"/>
      <c r="B123" s="615" t="s">
        <v>291</v>
      </c>
      <c r="C123" s="258" t="s">
        <v>61</v>
      </c>
      <c r="D123" s="259" t="s">
        <v>44</v>
      </c>
      <c r="E123" s="259" t="s">
        <v>38</v>
      </c>
      <c r="F123" s="260" t="s">
        <v>43</v>
      </c>
      <c r="G123" s="73"/>
      <c r="H123" s="267">
        <f>H124</f>
        <v>450</v>
      </c>
      <c r="I123" s="267">
        <f>I124</f>
        <v>450</v>
      </c>
    </row>
    <row r="124" spans="1:9" s="444" customFormat="1" ht="36" x14ac:dyDescent="0.35">
      <c r="A124" s="434"/>
      <c r="B124" s="615" t="s">
        <v>209</v>
      </c>
      <c r="C124" s="258" t="s">
        <v>61</v>
      </c>
      <c r="D124" s="259" t="s">
        <v>44</v>
      </c>
      <c r="E124" s="259" t="s">
        <v>38</v>
      </c>
      <c r="F124" s="260" t="s">
        <v>293</v>
      </c>
      <c r="G124" s="73"/>
      <c r="H124" s="267">
        <f>H125</f>
        <v>450</v>
      </c>
      <c r="I124" s="267">
        <f>I125</f>
        <v>450</v>
      </c>
    </row>
    <row r="125" spans="1:9" s="444" customFormat="1" ht="18" x14ac:dyDescent="0.35">
      <c r="A125" s="434"/>
      <c r="B125" s="615" t="s">
        <v>118</v>
      </c>
      <c r="C125" s="258" t="s">
        <v>61</v>
      </c>
      <c r="D125" s="259" t="s">
        <v>44</v>
      </c>
      <c r="E125" s="259" t="s">
        <v>38</v>
      </c>
      <c r="F125" s="260" t="s">
        <v>293</v>
      </c>
      <c r="G125" s="73" t="s">
        <v>119</v>
      </c>
      <c r="H125" s="267">
        <f>'прил9 (ведом 25-26)'!M415</f>
        <v>450</v>
      </c>
      <c r="I125" s="267">
        <f>'прил9 (ведом 25-26)'!N415</f>
        <v>450</v>
      </c>
    </row>
    <row r="126" spans="1:9" s="444" customFormat="1" ht="18" x14ac:dyDescent="0.35">
      <c r="A126" s="434"/>
      <c r="B126" s="606" t="s">
        <v>337</v>
      </c>
      <c r="C126" s="452" t="s">
        <v>61</v>
      </c>
      <c r="D126" s="453" t="s">
        <v>44</v>
      </c>
      <c r="E126" s="453" t="s">
        <v>61</v>
      </c>
      <c r="F126" s="454" t="s">
        <v>43</v>
      </c>
      <c r="G126" s="455"/>
      <c r="H126" s="267">
        <f>H127+H131+H129</f>
        <v>16259.3</v>
      </c>
      <c r="I126" s="267">
        <f>I127+I131+I129</f>
        <v>16231</v>
      </c>
    </row>
    <row r="127" spans="1:9" s="444" customFormat="1" ht="36" x14ac:dyDescent="0.35">
      <c r="A127" s="434"/>
      <c r="B127" s="606" t="s">
        <v>484</v>
      </c>
      <c r="C127" s="452" t="s">
        <v>61</v>
      </c>
      <c r="D127" s="453" t="s">
        <v>44</v>
      </c>
      <c r="E127" s="453" t="s">
        <v>61</v>
      </c>
      <c r="F127" s="454" t="s">
        <v>89</v>
      </c>
      <c r="G127" s="455"/>
      <c r="H127" s="267">
        <f>H128</f>
        <v>15497.9</v>
      </c>
      <c r="I127" s="267">
        <f>I128</f>
        <v>15458</v>
      </c>
    </row>
    <row r="128" spans="1:9" s="444" customFormat="1" ht="36" x14ac:dyDescent="0.35">
      <c r="A128" s="434"/>
      <c r="B128" s="609" t="s">
        <v>74</v>
      </c>
      <c r="C128" s="258" t="s">
        <v>61</v>
      </c>
      <c r="D128" s="259" t="s">
        <v>44</v>
      </c>
      <c r="E128" s="259" t="s">
        <v>61</v>
      </c>
      <c r="F128" s="260" t="s">
        <v>89</v>
      </c>
      <c r="G128" s="73" t="s">
        <v>75</v>
      </c>
      <c r="H128" s="267">
        <f>'прил9 (ведом 25-26)'!M422</f>
        <v>15497.9</v>
      </c>
      <c r="I128" s="267">
        <f>'прил9 (ведом 25-26)'!N422</f>
        <v>15458</v>
      </c>
    </row>
    <row r="129" spans="1:9" s="444" customFormat="1" ht="36" x14ac:dyDescent="0.35">
      <c r="A129" s="434"/>
      <c r="B129" s="617" t="s">
        <v>335</v>
      </c>
      <c r="C129" s="799" t="s">
        <v>61</v>
      </c>
      <c r="D129" s="800" t="s">
        <v>44</v>
      </c>
      <c r="E129" s="800" t="s">
        <v>61</v>
      </c>
      <c r="F129" s="801" t="s">
        <v>336</v>
      </c>
      <c r="G129" s="55"/>
      <c r="H129" s="267">
        <f>H130</f>
        <v>321.8</v>
      </c>
      <c r="I129" s="267">
        <f>I130</f>
        <v>321.8</v>
      </c>
    </row>
    <row r="130" spans="1:9" s="444" customFormat="1" ht="36" x14ac:dyDescent="0.35">
      <c r="A130" s="434"/>
      <c r="B130" s="617" t="s">
        <v>74</v>
      </c>
      <c r="C130" s="799" t="s">
        <v>61</v>
      </c>
      <c r="D130" s="800" t="s">
        <v>44</v>
      </c>
      <c r="E130" s="800" t="s">
        <v>61</v>
      </c>
      <c r="F130" s="801" t="s">
        <v>336</v>
      </c>
      <c r="G130" s="55" t="s">
        <v>75</v>
      </c>
      <c r="H130" s="267">
        <f>'прил9 (ведом 25-26)'!M424</f>
        <v>321.8</v>
      </c>
      <c r="I130" s="267">
        <f>'прил9 (ведом 25-26)'!N424</f>
        <v>321.8</v>
      </c>
    </row>
    <row r="131" spans="1:9" s="444" customFormat="1" ht="18" x14ac:dyDescent="0.35">
      <c r="A131" s="434"/>
      <c r="B131" s="617" t="s">
        <v>571</v>
      </c>
      <c r="C131" s="799" t="s">
        <v>61</v>
      </c>
      <c r="D131" s="800" t="s">
        <v>44</v>
      </c>
      <c r="E131" s="800" t="s">
        <v>61</v>
      </c>
      <c r="F131" s="801" t="s">
        <v>570</v>
      </c>
      <c r="G131" s="55"/>
      <c r="H131" s="267">
        <f>H132</f>
        <v>439.6</v>
      </c>
      <c r="I131" s="267">
        <f>I132</f>
        <v>451.2</v>
      </c>
    </row>
    <row r="132" spans="1:9" s="444" customFormat="1" ht="36" x14ac:dyDescent="0.35">
      <c r="A132" s="434"/>
      <c r="B132" s="617" t="s">
        <v>74</v>
      </c>
      <c r="C132" s="799" t="s">
        <v>61</v>
      </c>
      <c r="D132" s="800" t="s">
        <v>44</v>
      </c>
      <c r="E132" s="800" t="s">
        <v>61</v>
      </c>
      <c r="F132" s="801" t="s">
        <v>570</v>
      </c>
      <c r="G132" s="55" t="s">
        <v>75</v>
      </c>
      <c r="H132" s="267">
        <f>'прил9 (ведом 25-26)'!M426</f>
        <v>439.6</v>
      </c>
      <c r="I132" s="267">
        <f>'прил9 (ведом 25-26)'!N426</f>
        <v>451.2</v>
      </c>
    </row>
    <row r="133" spans="1:9" s="444" customFormat="1" ht="36" x14ac:dyDescent="0.35">
      <c r="A133" s="434"/>
      <c r="B133" s="609" t="s">
        <v>339</v>
      </c>
      <c r="C133" s="452" t="s">
        <v>61</v>
      </c>
      <c r="D133" s="453" t="s">
        <v>44</v>
      </c>
      <c r="E133" s="453" t="s">
        <v>50</v>
      </c>
      <c r="F133" s="260" t="s">
        <v>43</v>
      </c>
      <c r="G133" s="73"/>
      <c r="H133" s="267">
        <f>H134</f>
        <v>15320.3</v>
      </c>
      <c r="I133" s="267">
        <f>I134</f>
        <v>15347.8</v>
      </c>
    </row>
    <row r="134" spans="1:9" s="444" customFormat="1" ht="36" x14ac:dyDescent="0.35">
      <c r="A134" s="434"/>
      <c r="B134" s="606" t="s">
        <v>484</v>
      </c>
      <c r="C134" s="452" t="s">
        <v>61</v>
      </c>
      <c r="D134" s="453" t="s">
        <v>44</v>
      </c>
      <c r="E134" s="453" t="s">
        <v>50</v>
      </c>
      <c r="F134" s="454" t="s">
        <v>89</v>
      </c>
      <c r="G134" s="455"/>
      <c r="H134" s="267">
        <f>SUM(H135:H135)</f>
        <v>15320.3</v>
      </c>
      <c r="I134" s="267">
        <f>SUM(I135:I135)</f>
        <v>15347.8</v>
      </c>
    </row>
    <row r="135" spans="1:9" s="444" customFormat="1" ht="90" x14ac:dyDescent="0.35">
      <c r="A135" s="434"/>
      <c r="B135" s="607" t="s">
        <v>48</v>
      </c>
      <c r="C135" s="258" t="s">
        <v>61</v>
      </c>
      <c r="D135" s="259" t="s">
        <v>44</v>
      </c>
      <c r="E135" s="259" t="s">
        <v>50</v>
      </c>
      <c r="F135" s="260" t="s">
        <v>89</v>
      </c>
      <c r="G135" s="73" t="s">
        <v>49</v>
      </c>
      <c r="H135" s="267">
        <f>'прил9 (ведом 25-26)'!M429</f>
        <v>15320.3</v>
      </c>
      <c r="I135" s="267">
        <f>'прил9 (ведом 25-26)'!N429</f>
        <v>15347.8</v>
      </c>
    </row>
    <row r="136" spans="1:9" s="444" customFormat="1" ht="36" x14ac:dyDescent="0.35">
      <c r="A136" s="434"/>
      <c r="B136" s="607" t="s">
        <v>347</v>
      </c>
      <c r="C136" s="452" t="s">
        <v>61</v>
      </c>
      <c r="D136" s="453" t="s">
        <v>87</v>
      </c>
      <c r="E136" s="453" t="s">
        <v>42</v>
      </c>
      <c r="F136" s="260" t="s">
        <v>43</v>
      </c>
      <c r="G136" s="73"/>
      <c r="H136" s="267">
        <f>H137</f>
        <v>478.7</v>
      </c>
      <c r="I136" s="267">
        <f>I137</f>
        <v>458.8</v>
      </c>
    </row>
    <row r="137" spans="1:9" s="444" customFormat="1" ht="90" x14ac:dyDescent="0.35">
      <c r="A137" s="434"/>
      <c r="B137" s="615" t="s">
        <v>340</v>
      </c>
      <c r="C137" s="452" t="s">
        <v>61</v>
      </c>
      <c r="D137" s="453" t="s">
        <v>87</v>
      </c>
      <c r="E137" s="453" t="s">
        <v>61</v>
      </c>
      <c r="F137" s="260" t="s">
        <v>43</v>
      </c>
      <c r="G137" s="73"/>
      <c r="H137" s="267">
        <f>H140+H138</f>
        <v>478.7</v>
      </c>
      <c r="I137" s="267">
        <f>I140+I138</f>
        <v>458.8</v>
      </c>
    </row>
    <row r="138" spans="1:9" s="444" customFormat="1" ht="36" x14ac:dyDescent="0.35">
      <c r="A138" s="434"/>
      <c r="B138" s="615" t="s">
        <v>335</v>
      </c>
      <c r="C138" s="452" t="s">
        <v>61</v>
      </c>
      <c r="D138" s="453" t="s">
        <v>87</v>
      </c>
      <c r="E138" s="453" t="s">
        <v>61</v>
      </c>
      <c r="F138" s="260" t="s">
        <v>336</v>
      </c>
      <c r="G138" s="73"/>
      <c r="H138" s="267">
        <f>H139</f>
        <v>434.3</v>
      </c>
      <c r="I138" s="267">
        <f>I139</f>
        <v>414.40000000000003</v>
      </c>
    </row>
    <row r="139" spans="1:9" s="444" customFormat="1" ht="36" x14ac:dyDescent="0.35">
      <c r="A139" s="434"/>
      <c r="B139" s="607" t="s">
        <v>53</v>
      </c>
      <c r="C139" s="452" t="s">
        <v>61</v>
      </c>
      <c r="D139" s="453" t="s">
        <v>87</v>
      </c>
      <c r="E139" s="453" t="s">
        <v>61</v>
      </c>
      <c r="F139" s="260" t="s">
        <v>336</v>
      </c>
      <c r="G139" s="73" t="s">
        <v>54</v>
      </c>
      <c r="H139" s="267">
        <f>'прил9 (ведом 25-26)'!M433</f>
        <v>434.3</v>
      </c>
      <c r="I139" s="267">
        <f>'прил9 (ведом 25-26)'!N433</f>
        <v>414.40000000000003</v>
      </c>
    </row>
    <row r="140" spans="1:9" s="444" customFormat="1" ht="252" x14ac:dyDescent="0.35">
      <c r="A140" s="434"/>
      <c r="B140" s="615" t="s">
        <v>654</v>
      </c>
      <c r="C140" s="258" t="s">
        <v>61</v>
      </c>
      <c r="D140" s="259" t="s">
        <v>87</v>
      </c>
      <c r="E140" s="259" t="s">
        <v>61</v>
      </c>
      <c r="F140" s="260" t="s">
        <v>433</v>
      </c>
      <c r="G140" s="73"/>
      <c r="H140" s="267">
        <f>H141</f>
        <v>44.4</v>
      </c>
      <c r="I140" s="267">
        <f>I141</f>
        <v>44.4</v>
      </c>
    </row>
    <row r="141" spans="1:9" s="444" customFormat="1" ht="36" x14ac:dyDescent="0.35">
      <c r="A141" s="434"/>
      <c r="B141" s="615" t="s">
        <v>74</v>
      </c>
      <c r="C141" s="258" t="s">
        <v>61</v>
      </c>
      <c r="D141" s="259" t="s">
        <v>87</v>
      </c>
      <c r="E141" s="259" t="s">
        <v>61</v>
      </c>
      <c r="F141" s="260" t="s">
        <v>433</v>
      </c>
      <c r="G141" s="73" t="s">
        <v>75</v>
      </c>
      <c r="H141" s="267">
        <f>'прил9 (ведом 25-26)'!M435</f>
        <v>44.4</v>
      </c>
      <c r="I141" s="267">
        <f>'прил9 (ведом 25-26)'!N435</f>
        <v>44.4</v>
      </c>
    </row>
    <row r="142" spans="1:9" s="444" customFormat="1" ht="36" x14ac:dyDescent="0.35">
      <c r="A142" s="434"/>
      <c r="B142" s="606" t="s">
        <v>213</v>
      </c>
      <c r="C142" s="258" t="s">
        <v>61</v>
      </c>
      <c r="D142" s="259" t="s">
        <v>29</v>
      </c>
      <c r="E142" s="259" t="s">
        <v>42</v>
      </c>
      <c r="F142" s="260" t="s">
        <v>43</v>
      </c>
      <c r="G142" s="297"/>
      <c r="H142" s="267">
        <f>H143+H152</f>
        <v>12211</v>
      </c>
      <c r="I142" s="267">
        <f>I143+I152</f>
        <v>12215.7</v>
      </c>
    </row>
    <row r="143" spans="1:9" s="444" customFormat="1" ht="36" x14ac:dyDescent="0.35">
      <c r="A143" s="434"/>
      <c r="B143" s="606" t="s">
        <v>296</v>
      </c>
      <c r="C143" s="258" t="s">
        <v>61</v>
      </c>
      <c r="D143" s="259" t="s">
        <v>29</v>
      </c>
      <c r="E143" s="259" t="s">
        <v>36</v>
      </c>
      <c r="F143" s="260" t="s">
        <v>43</v>
      </c>
      <c r="G143" s="73"/>
      <c r="H143" s="267">
        <f>H144+H148</f>
        <v>12154.7</v>
      </c>
      <c r="I143" s="267">
        <f>I144+I148</f>
        <v>12159.400000000001</v>
      </c>
    </row>
    <row r="144" spans="1:9" ht="36" x14ac:dyDescent="0.35">
      <c r="A144" s="434"/>
      <c r="B144" s="606" t="s">
        <v>46</v>
      </c>
      <c r="C144" s="258" t="s">
        <v>61</v>
      </c>
      <c r="D144" s="259" t="s">
        <v>29</v>
      </c>
      <c r="E144" s="259" t="s">
        <v>36</v>
      </c>
      <c r="F144" s="260" t="s">
        <v>47</v>
      </c>
      <c r="G144" s="455"/>
      <c r="H144" s="267">
        <f>SUM(H145:H147)</f>
        <v>3689.2000000000003</v>
      </c>
      <c r="I144" s="267">
        <f>SUM(I145:I147)</f>
        <v>3690.2000000000003</v>
      </c>
    </row>
    <row r="145" spans="1:9" ht="90" x14ac:dyDescent="0.35">
      <c r="A145" s="434"/>
      <c r="B145" s="606" t="s">
        <v>48</v>
      </c>
      <c r="C145" s="258" t="s">
        <v>61</v>
      </c>
      <c r="D145" s="259" t="s">
        <v>29</v>
      </c>
      <c r="E145" s="259" t="s">
        <v>36</v>
      </c>
      <c r="F145" s="260" t="s">
        <v>47</v>
      </c>
      <c r="G145" s="455" t="s">
        <v>49</v>
      </c>
      <c r="H145" s="267">
        <f>'прил9 (ведом 25-26)'!M441</f>
        <v>3417.9</v>
      </c>
      <c r="I145" s="267">
        <f>'прил9 (ведом 25-26)'!N441</f>
        <v>3417.9</v>
      </c>
    </row>
    <row r="146" spans="1:9" ht="36" x14ac:dyDescent="0.35">
      <c r="A146" s="434"/>
      <c r="B146" s="606" t="s">
        <v>53</v>
      </c>
      <c r="C146" s="258" t="s">
        <v>61</v>
      </c>
      <c r="D146" s="259" t="s">
        <v>29</v>
      </c>
      <c r="E146" s="259" t="s">
        <v>36</v>
      </c>
      <c r="F146" s="260" t="s">
        <v>47</v>
      </c>
      <c r="G146" s="455" t="s">
        <v>54</v>
      </c>
      <c r="H146" s="267">
        <f>'прил9 (ведом 25-26)'!M442</f>
        <v>262.89999999999998</v>
      </c>
      <c r="I146" s="267">
        <f>'прил9 (ведом 25-26)'!N442</f>
        <v>263.89999999999998</v>
      </c>
    </row>
    <row r="147" spans="1:9" ht="18" x14ac:dyDescent="0.35">
      <c r="A147" s="434"/>
      <c r="B147" s="607" t="s">
        <v>55</v>
      </c>
      <c r="C147" s="258" t="s">
        <v>61</v>
      </c>
      <c r="D147" s="259" t="s">
        <v>29</v>
      </c>
      <c r="E147" s="259" t="s">
        <v>36</v>
      </c>
      <c r="F147" s="260" t="s">
        <v>47</v>
      </c>
      <c r="G147" s="73" t="s">
        <v>56</v>
      </c>
      <c r="H147" s="267">
        <f>'прил9 (ведом 25-26)'!M443</f>
        <v>8.4</v>
      </c>
      <c r="I147" s="267">
        <f>'прил9 (ведом 25-26)'!N443</f>
        <v>8.4</v>
      </c>
    </row>
    <row r="148" spans="1:9" ht="36" x14ac:dyDescent="0.35">
      <c r="A148" s="434"/>
      <c r="B148" s="606" t="s">
        <v>484</v>
      </c>
      <c r="C148" s="258" t="s">
        <v>61</v>
      </c>
      <c r="D148" s="259" t="s">
        <v>29</v>
      </c>
      <c r="E148" s="259" t="s">
        <v>36</v>
      </c>
      <c r="F148" s="260" t="s">
        <v>89</v>
      </c>
      <c r="G148" s="73"/>
      <c r="H148" s="267">
        <f>SUM(H149:H151)</f>
        <v>8465.5</v>
      </c>
      <c r="I148" s="267">
        <f>SUM(I149:I151)</f>
        <v>8469.2000000000007</v>
      </c>
    </row>
    <row r="149" spans="1:9" ht="90" x14ac:dyDescent="0.35">
      <c r="A149" s="434"/>
      <c r="B149" s="606" t="s">
        <v>48</v>
      </c>
      <c r="C149" s="258" t="s">
        <v>61</v>
      </c>
      <c r="D149" s="259" t="s">
        <v>29</v>
      </c>
      <c r="E149" s="259" t="s">
        <v>36</v>
      </c>
      <c r="F149" s="260" t="s">
        <v>89</v>
      </c>
      <c r="G149" s="455" t="s">
        <v>49</v>
      </c>
      <c r="H149" s="267">
        <f>'прил9 (ведом 25-26)'!M445</f>
        <v>7800.2</v>
      </c>
      <c r="I149" s="267">
        <f>'прил9 (ведом 25-26)'!N445</f>
        <v>7800.2</v>
      </c>
    </row>
    <row r="150" spans="1:9" ht="36" x14ac:dyDescent="0.35">
      <c r="A150" s="434"/>
      <c r="B150" s="607" t="s">
        <v>53</v>
      </c>
      <c r="C150" s="258" t="s">
        <v>61</v>
      </c>
      <c r="D150" s="259" t="s">
        <v>29</v>
      </c>
      <c r="E150" s="259" t="s">
        <v>36</v>
      </c>
      <c r="F150" s="260" t="s">
        <v>89</v>
      </c>
      <c r="G150" s="455" t="s">
        <v>54</v>
      </c>
      <c r="H150" s="267">
        <f>'прил9 (ведом 25-26)'!M446</f>
        <v>663.8</v>
      </c>
      <c r="I150" s="267">
        <f>'прил9 (ведом 25-26)'!N446</f>
        <v>667.5</v>
      </c>
    </row>
    <row r="151" spans="1:9" ht="18" x14ac:dyDescent="0.35">
      <c r="A151" s="434"/>
      <c r="B151" s="607" t="s">
        <v>55</v>
      </c>
      <c r="C151" s="258" t="s">
        <v>61</v>
      </c>
      <c r="D151" s="259" t="s">
        <v>29</v>
      </c>
      <c r="E151" s="259" t="s">
        <v>36</v>
      </c>
      <c r="F151" s="260" t="s">
        <v>89</v>
      </c>
      <c r="G151" s="73" t="s">
        <v>56</v>
      </c>
      <c r="H151" s="267">
        <f>'прил9 (ведом 25-26)'!M447</f>
        <v>1.5</v>
      </c>
      <c r="I151" s="267">
        <f>'прил9 (ведом 25-26)'!N447</f>
        <v>1.5</v>
      </c>
    </row>
    <row r="152" spans="1:9" ht="36" x14ac:dyDescent="0.35">
      <c r="A152" s="434"/>
      <c r="B152" s="607" t="s">
        <v>371</v>
      </c>
      <c r="C152" s="258" t="s">
        <v>61</v>
      </c>
      <c r="D152" s="259" t="s">
        <v>29</v>
      </c>
      <c r="E152" s="259" t="s">
        <v>38</v>
      </c>
      <c r="F152" s="260" t="s">
        <v>43</v>
      </c>
      <c r="G152" s="200"/>
      <c r="H152" s="267">
        <f>H153</f>
        <v>56.3</v>
      </c>
      <c r="I152" s="267">
        <f>I153</f>
        <v>56.3</v>
      </c>
    </row>
    <row r="153" spans="1:9" ht="54" x14ac:dyDescent="0.35">
      <c r="A153" s="434"/>
      <c r="B153" s="607" t="s">
        <v>372</v>
      </c>
      <c r="C153" s="258" t="s">
        <v>61</v>
      </c>
      <c r="D153" s="259" t="s">
        <v>29</v>
      </c>
      <c r="E153" s="259" t="s">
        <v>38</v>
      </c>
      <c r="F153" s="260" t="s">
        <v>103</v>
      </c>
      <c r="G153" s="200"/>
      <c r="H153" s="267">
        <f>H154</f>
        <v>56.3</v>
      </c>
      <c r="I153" s="267">
        <f>I154</f>
        <v>56.3</v>
      </c>
    </row>
    <row r="154" spans="1:9" ht="36" x14ac:dyDescent="0.35">
      <c r="A154" s="434"/>
      <c r="B154" s="607" t="s">
        <v>53</v>
      </c>
      <c r="C154" s="258" t="s">
        <v>61</v>
      </c>
      <c r="D154" s="259" t="s">
        <v>29</v>
      </c>
      <c r="E154" s="259" t="s">
        <v>38</v>
      </c>
      <c r="F154" s="260" t="s">
        <v>103</v>
      </c>
      <c r="G154" s="73" t="s">
        <v>54</v>
      </c>
      <c r="H154" s="267">
        <f>'прил9 (ведом 25-26)'!M400</f>
        <v>56.3</v>
      </c>
      <c r="I154" s="267">
        <f>'прил9 (ведом 25-26)'!N400</f>
        <v>56.3</v>
      </c>
    </row>
    <row r="155" spans="1:9" ht="18" x14ac:dyDescent="0.35">
      <c r="A155" s="434"/>
      <c r="B155" s="613"/>
      <c r="C155" s="793"/>
      <c r="D155" s="456"/>
      <c r="E155" s="371"/>
      <c r="F155" s="457"/>
      <c r="G155" s="297"/>
      <c r="H155" s="267"/>
      <c r="I155" s="267"/>
    </row>
    <row r="156" spans="1:9" s="444" customFormat="1" ht="52.2" x14ac:dyDescent="0.3">
      <c r="A156" s="449">
        <v>3</v>
      </c>
      <c r="B156" s="618" t="s">
        <v>214</v>
      </c>
      <c r="C156" s="450" t="s">
        <v>50</v>
      </c>
      <c r="D156" s="450" t="s">
        <v>41</v>
      </c>
      <c r="E156" s="450" t="s">
        <v>42</v>
      </c>
      <c r="F156" s="451" t="s">
        <v>43</v>
      </c>
      <c r="G156" s="443"/>
      <c r="H156" s="310">
        <f>H157+H164</f>
        <v>47256.500000000015</v>
      </c>
      <c r="I156" s="310">
        <f>I157+I164</f>
        <v>46386.000000000007</v>
      </c>
    </row>
    <row r="157" spans="1:9" s="444" customFormat="1" ht="18" x14ac:dyDescent="0.35">
      <c r="A157" s="449"/>
      <c r="B157" s="645" t="s">
        <v>215</v>
      </c>
      <c r="C157" s="258" t="s">
        <v>50</v>
      </c>
      <c r="D157" s="259" t="s">
        <v>44</v>
      </c>
      <c r="E157" s="259" t="s">
        <v>42</v>
      </c>
      <c r="F157" s="260" t="s">
        <v>43</v>
      </c>
      <c r="G157" s="443"/>
      <c r="H157" s="267">
        <f>H158+H161</f>
        <v>1360.6</v>
      </c>
      <c r="I157" s="267">
        <f>I158+I161</f>
        <v>1360.6</v>
      </c>
    </row>
    <row r="158" spans="1:9" s="444" customFormat="1" ht="18" x14ac:dyDescent="0.35">
      <c r="A158" s="449"/>
      <c r="B158" s="607" t="s">
        <v>291</v>
      </c>
      <c r="C158" s="258" t="s">
        <v>50</v>
      </c>
      <c r="D158" s="259" t="s">
        <v>44</v>
      </c>
      <c r="E158" s="259" t="s">
        <v>36</v>
      </c>
      <c r="F158" s="260" t="s">
        <v>43</v>
      </c>
      <c r="G158" s="73"/>
      <c r="H158" s="267">
        <f>H159</f>
        <v>450</v>
      </c>
      <c r="I158" s="267">
        <f>I159</f>
        <v>450</v>
      </c>
    </row>
    <row r="159" spans="1:9" s="444" customFormat="1" ht="36" x14ac:dyDescent="0.35">
      <c r="A159" s="449"/>
      <c r="B159" s="607" t="s">
        <v>292</v>
      </c>
      <c r="C159" s="258" t="s">
        <v>50</v>
      </c>
      <c r="D159" s="259" t="s">
        <v>44</v>
      </c>
      <c r="E159" s="259" t="s">
        <v>36</v>
      </c>
      <c r="F159" s="260" t="s">
        <v>293</v>
      </c>
      <c r="G159" s="73"/>
      <c r="H159" s="267">
        <f>H160</f>
        <v>450</v>
      </c>
      <c r="I159" s="267">
        <f>I160</f>
        <v>450</v>
      </c>
    </row>
    <row r="160" spans="1:9" s="444" customFormat="1" ht="18" x14ac:dyDescent="0.35">
      <c r="A160" s="449"/>
      <c r="B160" s="607" t="s">
        <v>118</v>
      </c>
      <c r="C160" s="258" t="s">
        <v>50</v>
      </c>
      <c r="D160" s="259" t="s">
        <v>44</v>
      </c>
      <c r="E160" s="259" t="s">
        <v>36</v>
      </c>
      <c r="F160" s="260" t="s">
        <v>293</v>
      </c>
      <c r="G160" s="73" t="s">
        <v>119</v>
      </c>
      <c r="H160" s="267">
        <f>'прил9 (ведом 25-26)'!M479</f>
        <v>450</v>
      </c>
      <c r="I160" s="267">
        <f>'прил9 (ведом 25-26)'!N479</f>
        <v>450</v>
      </c>
    </row>
    <row r="161" spans="1:9" ht="54" x14ac:dyDescent="0.35">
      <c r="A161" s="434"/>
      <c r="B161" s="607" t="s">
        <v>305</v>
      </c>
      <c r="C161" s="258" t="s">
        <v>50</v>
      </c>
      <c r="D161" s="259" t="s">
        <v>44</v>
      </c>
      <c r="E161" s="259" t="s">
        <v>38</v>
      </c>
      <c r="F161" s="260" t="s">
        <v>43</v>
      </c>
      <c r="G161" s="73"/>
      <c r="H161" s="267">
        <f>H162</f>
        <v>910.6</v>
      </c>
      <c r="I161" s="267">
        <f>I162</f>
        <v>910.6</v>
      </c>
    </row>
    <row r="162" spans="1:9" ht="36" x14ac:dyDescent="0.35">
      <c r="A162" s="434"/>
      <c r="B162" s="607" t="s">
        <v>216</v>
      </c>
      <c r="C162" s="258" t="s">
        <v>50</v>
      </c>
      <c r="D162" s="259" t="s">
        <v>44</v>
      </c>
      <c r="E162" s="259" t="s">
        <v>38</v>
      </c>
      <c r="F162" s="260" t="s">
        <v>306</v>
      </c>
      <c r="G162" s="73"/>
      <c r="H162" s="267">
        <f>H163</f>
        <v>910.6</v>
      </c>
      <c r="I162" s="267">
        <f>I163</f>
        <v>910.6</v>
      </c>
    </row>
    <row r="163" spans="1:9" ht="36" x14ac:dyDescent="0.35">
      <c r="A163" s="434"/>
      <c r="B163" s="607" t="s">
        <v>53</v>
      </c>
      <c r="C163" s="258" t="s">
        <v>50</v>
      </c>
      <c r="D163" s="259" t="s">
        <v>44</v>
      </c>
      <c r="E163" s="259" t="s">
        <v>38</v>
      </c>
      <c r="F163" s="260" t="s">
        <v>306</v>
      </c>
      <c r="G163" s="73" t="s">
        <v>54</v>
      </c>
      <c r="H163" s="267">
        <f>'прил9 (ведом 25-26)'!M473</f>
        <v>910.6</v>
      </c>
      <c r="I163" s="267">
        <f>'прил9 (ведом 25-26)'!N473</f>
        <v>910.6</v>
      </c>
    </row>
    <row r="164" spans="1:9" ht="18" x14ac:dyDescent="0.35">
      <c r="A164" s="434"/>
      <c r="B164" s="606" t="s">
        <v>217</v>
      </c>
      <c r="C164" s="258" t="s">
        <v>50</v>
      </c>
      <c r="D164" s="259" t="s">
        <v>87</v>
      </c>
      <c r="E164" s="259" t="s">
        <v>42</v>
      </c>
      <c r="F164" s="260" t="s">
        <v>43</v>
      </c>
      <c r="G164" s="297"/>
      <c r="H164" s="267">
        <f>H165+H170+H181+H184</f>
        <v>45895.900000000016</v>
      </c>
      <c r="I164" s="267">
        <f>I165+I170+I181+I184</f>
        <v>45025.400000000009</v>
      </c>
    </row>
    <row r="165" spans="1:9" ht="36" x14ac:dyDescent="0.35">
      <c r="A165" s="434"/>
      <c r="B165" s="606" t="s">
        <v>296</v>
      </c>
      <c r="C165" s="258" t="s">
        <v>50</v>
      </c>
      <c r="D165" s="259" t="s">
        <v>87</v>
      </c>
      <c r="E165" s="259" t="s">
        <v>36</v>
      </c>
      <c r="F165" s="260" t="s">
        <v>43</v>
      </c>
      <c r="G165" s="73"/>
      <c r="H165" s="267">
        <f>H166</f>
        <v>3179.7999999999997</v>
      </c>
      <c r="I165" s="267">
        <f>I166</f>
        <v>3180.9</v>
      </c>
    </row>
    <row r="166" spans="1:9" ht="36" x14ac:dyDescent="0.35">
      <c r="A166" s="434"/>
      <c r="B166" s="606" t="s">
        <v>46</v>
      </c>
      <c r="C166" s="258" t="s">
        <v>50</v>
      </c>
      <c r="D166" s="259" t="s">
        <v>87</v>
      </c>
      <c r="E166" s="259" t="s">
        <v>36</v>
      </c>
      <c r="F166" s="260" t="s">
        <v>47</v>
      </c>
      <c r="G166" s="73"/>
      <c r="H166" s="267">
        <f>SUM(H167:H169)</f>
        <v>3179.7999999999997</v>
      </c>
      <c r="I166" s="267">
        <f>SUM(I167:I169)</f>
        <v>3180.9</v>
      </c>
    </row>
    <row r="167" spans="1:9" ht="90" x14ac:dyDescent="0.35">
      <c r="A167" s="434"/>
      <c r="B167" s="606" t="s">
        <v>48</v>
      </c>
      <c r="C167" s="258" t="s">
        <v>50</v>
      </c>
      <c r="D167" s="259" t="s">
        <v>87</v>
      </c>
      <c r="E167" s="259" t="s">
        <v>36</v>
      </c>
      <c r="F167" s="260" t="s">
        <v>47</v>
      </c>
      <c r="G167" s="73" t="s">
        <v>49</v>
      </c>
      <c r="H167" s="267">
        <f>'прил9 (ведом 25-26)'!M497</f>
        <v>3117.5</v>
      </c>
      <c r="I167" s="267">
        <f>'прил9 (ведом 25-26)'!N497</f>
        <v>3117.5</v>
      </c>
    </row>
    <row r="168" spans="1:9" ht="36" x14ac:dyDescent="0.35">
      <c r="A168" s="434"/>
      <c r="B168" s="607" t="s">
        <v>53</v>
      </c>
      <c r="C168" s="258" t="s">
        <v>50</v>
      </c>
      <c r="D168" s="259" t="s">
        <v>87</v>
      </c>
      <c r="E168" s="259" t="s">
        <v>36</v>
      </c>
      <c r="F168" s="260" t="s">
        <v>47</v>
      </c>
      <c r="G168" s="73" t="s">
        <v>54</v>
      </c>
      <c r="H168" s="267">
        <f>'прил9 (ведом 25-26)'!M498</f>
        <v>60.6</v>
      </c>
      <c r="I168" s="267">
        <f>'прил9 (ведом 25-26)'!N498</f>
        <v>61.8</v>
      </c>
    </row>
    <row r="169" spans="1:9" ht="18" x14ac:dyDescent="0.35">
      <c r="A169" s="434"/>
      <c r="B169" s="607" t="s">
        <v>55</v>
      </c>
      <c r="C169" s="258" t="s">
        <v>50</v>
      </c>
      <c r="D169" s="259" t="s">
        <v>87</v>
      </c>
      <c r="E169" s="259" t="s">
        <v>36</v>
      </c>
      <c r="F169" s="260" t="s">
        <v>47</v>
      </c>
      <c r="G169" s="73" t="s">
        <v>56</v>
      </c>
      <c r="H169" s="267">
        <f>'прил9 (ведом 25-26)'!M499</f>
        <v>1.7</v>
      </c>
      <c r="I169" s="267">
        <f>'прил9 (ведом 25-26)'!N499</f>
        <v>1.6</v>
      </c>
    </row>
    <row r="170" spans="1:9" ht="18" x14ac:dyDescent="0.35">
      <c r="A170" s="434"/>
      <c r="B170" s="606" t="s">
        <v>381</v>
      </c>
      <c r="C170" s="258" t="s">
        <v>50</v>
      </c>
      <c r="D170" s="259" t="s">
        <v>87</v>
      </c>
      <c r="E170" s="259" t="s">
        <v>38</v>
      </c>
      <c r="F170" s="260" t="s">
        <v>43</v>
      </c>
      <c r="G170" s="73"/>
      <c r="H170" s="267">
        <f>H171+H175+H177+H179</f>
        <v>37896.30000000001</v>
      </c>
      <c r="I170" s="267">
        <f>I171+I175+I177+I179</f>
        <v>37005.000000000007</v>
      </c>
    </row>
    <row r="171" spans="1:9" ht="36" x14ac:dyDescent="0.35">
      <c r="A171" s="434"/>
      <c r="B171" s="606" t="s">
        <v>484</v>
      </c>
      <c r="C171" s="258" t="s">
        <v>50</v>
      </c>
      <c r="D171" s="259" t="s">
        <v>87</v>
      </c>
      <c r="E171" s="259" t="s">
        <v>38</v>
      </c>
      <c r="F171" s="260" t="s">
        <v>89</v>
      </c>
      <c r="G171" s="73"/>
      <c r="H171" s="267">
        <f>SUM(H172:H174)</f>
        <v>31291.600000000002</v>
      </c>
      <c r="I171" s="267">
        <f>SUM(I172:I174)</f>
        <v>31402.400000000001</v>
      </c>
    </row>
    <row r="172" spans="1:9" ht="90" x14ac:dyDescent="0.35">
      <c r="A172" s="434"/>
      <c r="B172" s="606" t="s">
        <v>48</v>
      </c>
      <c r="C172" s="258" t="s">
        <v>50</v>
      </c>
      <c r="D172" s="259" t="s">
        <v>87</v>
      </c>
      <c r="E172" s="259" t="s">
        <v>38</v>
      </c>
      <c r="F172" s="260" t="s">
        <v>89</v>
      </c>
      <c r="G172" s="73" t="s">
        <v>49</v>
      </c>
      <c r="H172" s="267">
        <f>'прил9 (ведом 25-26)'!M483</f>
        <v>25492.400000000001</v>
      </c>
      <c r="I172" s="267">
        <f>'прил9 (ведом 25-26)'!N483</f>
        <v>25492.400000000001</v>
      </c>
    </row>
    <row r="173" spans="1:9" ht="36" x14ac:dyDescent="0.35">
      <c r="A173" s="434"/>
      <c r="B173" s="606" t="s">
        <v>53</v>
      </c>
      <c r="C173" s="258" t="s">
        <v>50</v>
      </c>
      <c r="D173" s="259" t="s">
        <v>87</v>
      </c>
      <c r="E173" s="259" t="s">
        <v>38</v>
      </c>
      <c r="F173" s="260" t="s">
        <v>89</v>
      </c>
      <c r="G173" s="73" t="s">
        <v>54</v>
      </c>
      <c r="H173" s="267">
        <f>'прил9 (ведом 25-26)'!M484</f>
        <v>5117.2</v>
      </c>
      <c r="I173" s="267">
        <f>'прил9 (ведом 25-26)'!N484</f>
        <v>5230</v>
      </c>
    </row>
    <row r="174" spans="1:9" ht="18" x14ac:dyDescent="0.35">
      <c r="A174" s="434"/>
      <c r="B174" s="606" t="s">
        <v>55</v>
      </c>
      <c r="C174" s="258" t="s">
        <v>50</v>
      </c>
      <c r="D174" s="259" t="s">
        <v>87</v>
      </c>
      <c r="E174" s="259" t="s">
        <v>38</v>
      </c>
      <c r="F174" s="260" t="s">
        <v>89</v>
      </c>
      <c r="G174" s="73" t="s">
        <v>56</v>
      </c>
      <c r="H174" s="267">
        <f>'прил9 (ведом 25-26)'!M485</f>
        <v>682</v>
      </c>
      <c r="I174" s="267">
        <f>'прил9 (ведом 25-26)'!N485</f>
        <v>680</v>
      </c>
    </row>
    <row r="175" spans="1:9" ht="36" x14ac:dyDescent="0.35">
      <c r="A175" s="434"/>
      <c r="B175" s="610" t="s">
        <v>216</v>
      </c>
      <c r="C175" s="799" t="s">
        <v>50</v>
      </c>
      <c r="D175" s="800" t="s">
        <v>87</v>
      </c>
      <c r="E175" s="800" t="s">
        <v>38</v>
      </c>
      <c r="F175" s="801" t="s">
        <v>306</v>
      </c>
      <c r="G175" s="55"/>
      <c r="H175" s="267">
        <f>H176</f>
        <v>4005.5</v>
      </c>
      <c r="I175" s="267">
        <f>I176</f>
        <v>4005.5</v>
      </c>
    </row>
    <row r="176" spans="1:9" ht="36" x14ac:dyDescent="0.35">
      <c r="A176" s="434"/>
      <c r="B176" s="610" t="s">
        <v>53</v>
      </c>
      <c r="C176" s="799" t="s">
        <v>50</v>
      </c>
      <c r="D176" s="800" t="s">
        <v>87</v>
      </c>
      <c r="E176" s="800" t="s">
        <v>38</v>
      </c>
      <c r="F176" s="801" t="s">
        <v>306</v>
      </c>
      <c r="G176" s="55" t="s">
        <v>54</v>
      </c>
      <c r="H176" s="267">
        <f>'прил9 (ведом 25-26)'!M487</f>
        <v>4005.5</v>
      </c>
      <c r="I176" s="267">
        <f>'прил9 (ведом 25-26)'!N487</f>
        <v>4005.5</v>
      </c>
    </row>
    <row r="177" spans="1:9" ht="180" x14ac:dyDescent="0.35">
      <c r="A177" s="434"/>
      <c r="B177" s="607" t="s">
        <v>455</v>
      </c>
      <c r="C177" s="258" t="s">
        <v>50</v>
      </c>
      <c r="D177" s="259" t="s">
        <v>87</v>
      </c>
      <c r="E177" s="259" t="s">
        <v>38</v>
      </c>
      <c r="F177" s="260" t="s">
        <v>411</v>
      </c>
      <c r="G177" s="73"/>
      <c r="H177" s="267">
        <f>H178</f>
        <v>93.8</v>
      </c>
      <c r="I177" s="267">
        <f>I178</f>
        <v>93.8</v>
      </c>
    </row>
    <row r="178" spans="1:9" ht="90" x14ac:dyDescent="0.35">
      <c r="A178" s="434"/>
      <c r="B178" s="607" t="s">
        <v>48</v>
      </c>
      <c r="C178" s="258" t="s">
        <v>50</v>
      </c>
      <c r="D178" s="259" t="s">
        <v>87</v>
      </c>
      <c r="E178" s="259" t="s">
        <v>38</v>
      </c>
      <c r="F178" s="260" t="s">
        <v>411</v>
      </c>
      <c r="G178" s="73" t="s">
        <v>49</v>
      </c>
      <c r="H178" s="267">
        <f>'прил9 (ведом 25-26)'!M489</f>
        <v>93.8</v>
      </c>
      <c r="I178" s="267">
        <f>'прил9 (ведом 25-26)'!N489</f>
        <v>93.8</v>
      </c>
    </row>
    <row r="179" spans="1:9" ht="54" x14ac:dyDescent="0.35">
      <c r="A179" s="434"/>
      <c r="B179" s="607" t="s">
        <v>459</v>
      </c>
      <c r="C179" s="258" t="s">
        <v>50</v>
      </c>
      <c r="D179" s="259" t="s">
        <v>87</v>
      </c>
      <c r="E179" s="259" t="s">
        <v>38</v>
      </c>
      <c r="F179" s="260" t="s">
        <v>431</v>
      </c>
      <c r="G179" s="73"/>
      <c r="H179" s="267">
        <f>H180</f>
        <v>2505.4</v>
      </c>
      <c r="I179" s="267">
        <f>I180</f>
        <v>1503.3000000000002</v>
      </c>
    </row>
    <row r="180" spans="1:9" ht="90" x14ac:dyDescent="0.35">
      <c r="A180" s="434"/>
      <c r="B180" s="607" t="s">
        <v>48</v>
      </c>
      <c r="C180" s="258" t="s">
        <v>50</v>
      </c>
      <c r="D180" s="259" t="s">
        <v>87</v>
      </c>
      <c r="E180" s="259" t="s">
        <v>38</v>
      </c>
      <c r="F180" s="260" t="s">
        <v>431</v>
      </c>
      <c r="G180" s="73" t="s">
        <v>49</v>
      </c>
      <c r="H180" s="267">
        <f>'прил9 (ведом 25-26)'!M491</f>
        <v>2505.4</v>
      </c>
      <c r="I180" s="267">
        <f>'прил9 (ведом 25-26)'!N491</f>
        <v>1503.3000000000002</v>
      </c>
    </row>
    <row r="181" spans="1:9" ht="36" x14ac:dyDescent="0.35">
      <c r="A181" s="434"/>
      <c r="B181" s="607" t="s">
        <v>371</v>
      </c>
      <c r="C181" s="258" t="s">
        <v>50</v>
      </c>
      <c r="D181" s="259" t="s">
        <v>87</v>
      </c>
      <c r="E181" s="259" t="s">
        <v>61</v>
      </c>
      <c r="F181" s="260" t="s">
        <v>43</v>
      </c>
      <c r="G181" s="73"/>
      <c r="H181" s="267">
        <f>H182</f>
        <v>51.9</v>
      </c>
      <c r="I181" s="267">
        <f>I182</f>
        <v>51.9</v>
      </c>
    </row>
    <row r="182" spans="1:9" ht="54" x14ac:dyDescent="0.35">
      <c r="A182" s="434"/>
      <c r="B182" s="607" t="s">
        <v>372</v>
      </c>
      <c r="C182" s="258" t="s">
        <v>50</v>
      </c>
      <c r="D182" s="259" t="s">
        <v>87</v>
      </c>
      <c r="E182" s="259" t="s">
        <v>61</v>
      </c>
      <c r="F182" s="260" t="s">
        <v>103</v>
      </c>
      <c r="G182" s="73"/>
      <c r="H182" s="267">
        <f>H183</f>
        <v>51.9</v>
      </c>
      <c r="I182" s="267">
        <f>I183</f>
        <v>51.9</v>
      </c>
    </row>
    <row r="183" spans="1:9" ht="36" x14ac:dyDescent="0.35">
      <c r="A183" s="434"/>
      <c r="B183" s="645" t="s">
        <v>53</v>
      </c>
      <c r="C183" s="258" t="s">
        <v>50</v>
      </c>
      <c r="D183" s="259" t="s">
        <v>87</v>
      </c>
      <c r="E183" s="259" t="s">
        <v>61</v>
      </c>
      <c r="F183" s="260" t="s">
        <v>103</v>
      </c>
      <c r="G183" s="73" t="s">
        <v>54</v>
      </c>
      <c r="H183" s="267">
        <f>'прил9 (ведом 25-26)'!M456</f>
        <v>51.9</v>
      </c>
      <c r="I183" s="267">
        <f>'прил9 (ведом 25-26)'!N456</f>
        <v>51.9</v>
      </c>
    </row>
    <row r="184" spans="1:9" ht="18" x14ac:dyDescent="0.35">
      <c r="A184" s="434"/>
      <c r="B184" s="610" t="s">
        <v>569</v>
      </c>
      <c r="C184" s="799" t="s">
        <v>50</v>
      </c>
      <c r="D184" s="800" t="s">
        <v>87</v>
      </c>
      <c r="E184" s="800" t="s">
        <v>50</v>
      </c>
      <c r="F184" s="801" t="s">
        <v>43</v>
      </c>
      <c r="G184" s="55"/>
      <c r="H184" s="267">
        <f>H185+H189</f>
        <v>4767.8999999999996</v>
      </c>
      <c r="I184" s="267">
        <f>I185+I189</f>
        <v>4787.5999999999995</v>
      </c>
    </row>
    <row r="185" spans="1:9" ht="36" x14ac:dyDescent="0.35">
      <c r="A185" s="434"/>
      <c r="B185" s="610" t="s">
        <v>484</v>
      </c>
      <c r="C185" s="799" t="s">
        <v>50</v>
      </c>
      <c r="D185" s="800" t="s">
        <v>87</v>
      </c>
      <c r="E185" s="800" t="s">
        <v>50</v>
      </c>
      <c r="F185" s="801" t="s">
        <v>89</v>
      </c>
      <c r="G185" s="55"/>
      <c r="H185" s="267">
        <f>H186+H187+H188</f>
        <v>3766.5</v>
      </c>
      <c r="I185" s="267">
        <f>I186+I187+I188</f>
        <v>3786.2</v>
      </c>
    </row>
    <row r="186" spans="1:9" ht="90" x14ac:dyDescent="0.35">
      <c r="A186" s="434"/>
      <c r="B186" s="610" t="s">
        <v>48</v>
      </c>
      <c r="C186" s="799" t="s">
        <v>50</v>
      </c>
      <c r="D186" s="800" t="s">
        <v>87</v>
      </c>
      <c r="E186" s="800" t="s">
        <v>50</v>
      </c>
      <c r="F186" s="801" t="s">
        <v>89</v>
      </c>
      <c r="G186" s="55" t="s">
        <v>49</v>
      </c>
      <c r="H186" s="267">
        <f>'прил9 (ведом 25-26)'!M463</f>
        <v>2270.4</v>
      </c>
      <c r="I186" s="267">
        <f>'прил9 (ведом 25-26)'!N463</f>
        <v>2270.4</v>
      </c>
    </row>
    <row r="187" spans="1:9" ht="36" x14ac:dyDescent="0.35">
      <c r="A187" s="434"/>
      <c r="B187" s="610" t="s">
        <v>53</v>
      </c>
      <c r="C187" s="799" t="s">
        <v>50</v>
      </c>
      <c r="D187" s="800" t="s">
        <v>87</v>
      </c>
      <c r="E187" s="800" t="s">
        <v>50</v>
      </c>
      <c r="F187" s="801" t="s">
        <v>89</v>
      </c>
      <c r="G187" s="55" t="s">
        <v>54</v>
      </c>
      <c r="H187" s="267">
        <f>'прил9 (ведом 25-26)'!M464</f>
        <v>1489.1</v>
      </c>
      <c r="I187" s="267">
        <f>'прил9 (ведом 25-26)'!N464</f>
        <v>1509.6</v>
      </c>
    </row>
    <row r="188" spans="1:9" ht="18" x14ac:dyDescent="0.35">
      <c r="A188" s="434"/>
      <c r="B188" s="610" t="s">
        <v>55</v>
      </c>
      <c r="C188" s="799" t="s">
        <v>50</v>
      </c>
      <c r="D188" s="800" t="s">
        <v>87</v>
      </c>
      <c r="E188" s="800" t="s">
        <v>50</v>
      </c>
      <c r="F188" s="801" t="s">
        <v>89</v>
      </c>
      <c r="G188" s="55" t="s">
        <v>56</v>
      </c>
      <c r="H188" s="267">
        <f>'прил9 (ведом 25-26)'!M465</f>
        <v>7</v>
      </c>
      <c r="I188" s="267">
        <f>'прил9 (ведом 25-26)'!N465</f>
        <v>6.2</v>
      </c>
    </row>
    <row r="189" spans="1:9" ht="36" x14ac:dyDescent="0.35">
      <c r="A189" s="434"/>
      <c r="B189" s="610" t="s">
        <v>216</v>
      </c>
      <c r="C189" s="799" t="s">
        <v>50</v>
      </c>
      <c r="D189" s="800" t="s">
        <v>87</v>
      </c>
      <c r="E189" s="800" t="s">
        <v>50</v>
      </c>
      <c r="F189" s="801" t="s">
        <v>306</v>
      </c>
      <c r="G189" s="55"/>
      <c r="H189" s="267">
        <f>H190</f>
        <v>1001.4</v>
      </c>
      <c r="I189" s="267">
        <f>I190</f>
        <v>1001.4</v>
      </c>
    </row>
    <row r="190" spans="1:9" ht="36" x14ac:dyDescent="0.35">
      <c r="A190" s="434"/>
      <c r="B190" s="610" t="s">
        <v>53</v>
      </c>
      <c r="C190" s="799" t="s">
        <v>50</v>
      </c>
      <c r="D190" s="800" t="s">
        <v>87</v>
      </c>
      <c r="E190" s="800" t="s">
        <v>50</v>
      </c>
      <c r="F190" s="801" t="s">
        <v>306</v>
      </c>
      <c r="G190" s="55" t="s">
        <v>54</v>
      </c>
      <c r="H190" s="267">
        <f>'прил9 (ведом 25-26)'!M467</f>
        <v>1001.4</v>
      </c>
      <c r="I190" s="267">
        <f>'прил9 (ведом 25-26)'!N467</f>
        <v>1001.4</v>
      </c>
    </row>
    <row r="191" spans="1:9" ht="18" x14ac:dyDescent="0.35">
      <c r="A191" s="434"/>
      <c r="B191" s="610"/>
      <c r="C191" s="799"/>
      <c r="D191" s="800"/>
      <c r="E191" s="800"/>
      <c r="F191" s="801"/>
      <c r="G191" s="55"/>
      <c r="H191" s="267"/>
      <c r="I191" s="267"/>
    </row>
    <row r="192" spans="1:9" ht="18" x14ac:dyDescent="0.35">
      <c r="A192" s="434"/>
      <c r="B192" s="613"/>
      <c r="C192" s="792"/>
      <c r="D192" s="793"/>
      <c r="E192" s="793"/>
      <c r="F192" s="794"/>
      <c r="G192" s="297"/>
      <c r="H192" s="267"/>
      <c r="I192" s="267"/>
    </row>
    <row r="193" spans="1:9" s="444" customFormat="1" ht="52.2" x14ac:dyDescent="0.3">
      <c r="A193" s="449">
        <v>4</v>
      </c>
      <c r="B193" s="605" t="s">
        <v>218</v>
      </c>
      <c r="C193" s="441" t="s">
        <v>63</v>
      </c>
      <c r="D193" s="441" t="s">
        <v>41</v>
      </c>
      <c r="E193" s="441" t="s">
        <v>42</v>
      </c>
      <c r="F193" s="442" t="s">
        <v>43</v>
      </c>
      <c r="G193" s="443"/>
      <c r="H193" s="310">
        <f>H194+H200</f>
        <v>8467.2000000000007</v>
      </c>
      <c r="I193" s="310">
        <f>I194+I200</f>
        <v>8473.2000000000007</v>
      </c>
    </row>
    <row r="194" spans="1:9" s="444" customFormat="1" ht="18" x14ac:dyDescent="0.35">
      <c r="A194" s="434"/>
      <c r="B194" s="606" t="s">
        <v>219</v>
      </c>
      <c r="C194" s="258" t="s">
        <v>63</v>
      </c>
      <c r="D194" s="259" t="s">
        <v>44</v>
      </c>
      <c r="E194" s="259" t="s">
        <v>42</v>
      </c>
      <c r="F194" s="260" t="s">
        <v>43</v>
      </c>
      <c r="G194" s="297"/>
      <c r="H194" s="267">
        <f>H195</f>
        <v>4526.8999999999996</v>
      </c>
      <c r="I194" s="267">
        <f>I195</f>
        <v>4526.8999999999996</v>
      </c>
    </row>
    <row r="195" spans="1:9" s="444" customFormat="1" ht="72" x14ac:dyDescent="0.35">
      <c r="A195" s="434"/>
      <c r="B195" s="606" t="s">
        <v>301</v>
      </c>
      <c r="C195" s="258" t="s">
        <v>63</v>
      </c>
      <c r="D195" s="259" t="s">
        <v>44</v>
      </c>
      <c r="E195" s="259" t="s">
        <v>36</v>
      </c>
      <c r="F195" s="260" t="s">
        <v>43</v>
      </c>
      <c r="G195" s="73"/>
      <c r="H195" s="267">
        <f>H196</f>
        <v>4526.8999999999996</v>
      </c>
      <c r="I195" s="267">
        <f>I196</f>
        <v>4526.8999999999996</v>
      </c>
    </row>
    <row r="196" spans="1:9" ht="36" x14ac:dyDescent="0.35">
      <c r="A196" s="434"/>
      <c r="B196" s="606" t="s">
        <v>484</v>
      </c>
      <c r="C196" s="258" t="s">
        <v>63</v>
      </c>
      <c r="D196" s="259" t="s">
        <v>44</v>
      </c>
      <c r="E196" s="259" t="s">
        <v>36</v>
      </c>
      <c r="F196" s="260" t="s">
        <v>89</v>
      </c>
      <c r="G196" s="73"/>
      <c r="H196" s="267">
        <f>SUM(H197:H199)</f>
        <v>4526.8999999999996</v>
      </c>
      <c r="I196" s="267">
        <f>SUM(I197:I199)</f>
        <v>4526.8999999999996</v>
      </c>
    </row>
    <row r="197" spans="1:9" ht="90" x14ac:dyDescent="0.35">
      <c r="A197" s="434"/>
      <c r="B197" s="606" t="s">
        <v>48</v>
      </c>
      <c r="C197" s="258" t="s">
        <v>63</v>
      </c>
      <c r="D197" s="259" t="s">
        <v>44</v>
      </c>
      <c r="E197" s="259" t="s">
        <v>36</v>
      </c>
      <c r="F197" s="260" t="s">
        <v>89</v>
      </c>
      <c r="G197" s="73" t="s">
        <v>49</v>
      </c>
      <c r="H197" s="267">
        <f>'прил9 (ведом 25-26)'!M521</f>
        <v>4152.7</v>
      </c>
      <c r="I197" s="267">
        <f>'прил9 (ведом 25-26)'!N521</f>
        <v>4152.7</v>
      </c>
    </row>
    <row r="198" spans="1:9" ht="36" x14ac:dyDescent="0.35">
      <c r="A198" s="434"/>
      <c r="B198" s="607" t="s">
        <v>53</v>
      </c>
      <c r="C198" s="258" t="s">
        <v>63</v>
      </c>
      <c r="D198" s="259" t="s">
        <v>44</v>
      </c>
      <c r="E198" s="259" t="s">
        <v>36</v>
      </c>
      <c r="F198" s="260" t="s">
        <v>89</v>
      </c>
      <c r="G198" s="73" t="s">
        <v>54</v>
      </c>
      <c r="H198" s="267">
        <f>'прил9 (ведом 25-26)'!M522</f>
        <v>371.5</v>
      </c>
      <c r="I198" s="267">
        <f>'прил9 (ведом 25-26)'!N522</f>
        <v>371.5</v>
      </c>
    </row>
    <row r="199" spans="1:9" ht="18" x14ac:dyDescent="0.35">
      <c r="A199" s="434"/>
      <c r="B199" s="607" t="s">
        <v>55</v>
      </c>
      <c r="C199" s="258" t="s">
        <v>63</v>
      </c>
      <c r="D199" s="259" t="s">
        <v>44</v>
      </c>
      <c r="E199" s="259" t="s">
        <v>36</v>
      </c>
      <c r="F199" s="260" t="s">
        <v>89</v>
      </c>
      <c r="G199" s="73" t="s">
        <v>56</v>
      </c>
      <c r="H199" s="267">
        <f>'прил9 (ведом 25-26)'!M523</f>
        <v>2.7</v>
      </c>
      <c r="I199" s="267">
        <f>'прил9 (ведом 25-26)'!N523</f>
        <v>2.7</v>
      </c>
    </row>
    <row r="200" spans="1:9" s="444" customFormat="1" ht="18" x14ac:dyDescent="0.35">
      <c r="A200" s="434"/>
      <c r="B200" s="606" t="s">
        <v>217</v>
      </c>
      <c r="C200" s="258" t="s">
        <v>63</v>
      </c>
      <c r="D200" s="259" t="s">
        <v>87</v>
      </c>
      <c r="E200" s="259" t="s">
        <v>42</v>
      </c>
      <c r="F200" s="260" t="s">
        <v>43</v>
      </c>
      <c r="G200" s="73"/>
      <c r="H200" s="267">
        <f>H201+H206+H209+H212</f>
        <v>3940.3</v>
      </c>
      <c r="I200" s="267">
        <f>I201+I206+I209+I212</f>
        <v>3946.3</v>
      </c>
    </row>
    <row r="201" spans="1:9" s="444" customFormat="1" ht="36" x14ac:dyDescent="0.35">
      <c r="A201" s="434"/>
      <c r="B201" s="606" t="s">
        <v>296</v>
      </c>
      <c r="C201" s="258" t="s">
        <v>63</v>
      </c>
      <c r="D201" s="259" t="s">
        <v>87</v>
      </c>
      <c r="E201" s="259" t="s">
        <v>36</v>
      </c>
      <c r="F201" s="260" t="s">
        <v>43</v>
      </c>
      <c r="G201" s="73"/>
      <c r="H201" s="267">
        <f>H202</f>
        <v>3791.1</v>
      </c>
      <c r="I201" s="267">
        <f>I202</f>
        <v>3797.1</v>
      </c>
    </row>
    <row r="202" spans="1:9" s="444" customFormat="1" ht="36" x14ac:dyDescent="0.35">
      <c r="A202" s="434"/>
      <c r="B202" s="606" t="s">
        <v>46</v>
      </c>
      <c r="C202" s="258" t="s">
        <v>63</v>
      </c>
      <c r="D202" s="259" t="s">
        <v>87</v>
      </c>
      <c r="E202" s="259" t="s">
        <v>36</v>
      </c>
      <c r="F202" s="260" t="s">
        <v>47</v>
      </c>
      <c r="G202" s="73"/>
      <c r="H202" s="267">
        <f>SUM(H203:H205)</f>
        <v>3791.1</v>
      </c>
      <c r="I202" s="267">
        <f>SUM(I203:I205)</f>
        <v>3797.1</v>
      </c>
    </row>
    <row r="203" spans="1:9" s="444" customFormat="1" ht="90" x14ac:dyDescent="0.35">
      <c r="A203" s="434"/>
      <c r="B203" s="606" t="s">
        <v>48</v>
      </c>
      <c r="C203" s="258" t="s">
        <v>63</v>
      </c>
      <c r="D203" s="259" t="s">
        <v>87</v>
      </c>
      <c r="E203" s="259" t="s">
        <v>36</v>
      </c>
      <c r="F203" s="260" t="s">
        <v>47</v>
      </c>
      <c r="G203" s="73" t="s">
        <v>49</v>
      </c>
      <c r="H203" s="267">
        <f>'прил9 (ведом 25-26)'!M529</f>
        <v>3414.6</v>
      </c>
      <c r="I203" s="267">
        <f>'прил9 (ведом 25-26)'!N529</f>
        <v>3414.6</v>
      </c>
    </row>
    <row r="204" spans="1:9" ht="36" x14ac:dyDescent="0.35">
      <c r="A204" s="434"/>
      <c r="B204" s="606" t="s">
        <v>53</v>
      </c>
      <c r="C204" s="258" t="s">
        <v>63</v>
      </c>
      <c r="D204" s="259" t="s">
        <v>87</v>
      </c>
      <c r="E204" s="259" t="s">
        <v>36</v>
      </c>
      <c r="F204" s="260" t="s">
        <v>47</v>
      </c>
      <c r="G204" s="73" t="s">
        <v>54</v>
      </c>
      <c r="H204" s="267">
        <f>'прил9 (ведом 25-26)'!M530</f>
        <v>375.3</v>
      </c>
      <c r="I204" s="267">
        <f>'прил9 (ведом 25-26)'!N530</f>
        <v>381.3</v>
      </c>
    </row>
    <row r="205" spans="1:9" ht="18" x14ac:dyDescent="0.35">
      <c r="A205" s="434"/>
      <c r="B205" s="606" t="s">
        <v>55</v>
      </c>
      <c r="C205" s="258" t="s">
        <v>63</v>
      </c>
      <c r="D205" s="259" t="s">
        <v>87</v>
      </c>
      <c r="E205" s="259" t="s">
        <v>36</v>
      </c>
      <c r="F205" s="260" t="s">
        <v>47</v>
      </c>
      <c r="G205" s="73" t="s">
        <v>56</v>
      </c>
      <c r="H205" s="267">
        <f>'прил9 (ведом 25-26)'!M531</f>
        <v>1.2</v>
      </c>
      <c r="I205" s="267">
        <f>'прил9 (ведом 25-26)'!N531</f>
        <v>1.2</v>
      </c>
    </row>
    <row r="206" spans="1:9" ht="36" x14ac:dyDescent="0.35">
      <c r="A206" s="434"/>
      <c r="B206" s="619" t="s">
        <v>371</v>
      </c>
      <c r="C206" s="259" t="s">
        <v>63</v>
      </c>
      <c r="D206" s="259" t="s">
        <v>87</v>
      </c>
      <c r="E206" s="259" t="s">
        <v>38</v>
      </c>
      <c r="F206" s="260" t="s">
        <v>43</v>
      </c>
      <c r="G206" s="73"/>
      <c r="H206" s="267">
        <f>H207</f>
        <v>87.3</v>
      </c>
      <c r="I206" s="267">
        <f>I207</f>
        <v>87.3</v>
      </c>
    </row>
    <row r="207" spans="1:9" ht="54" x14ac:dyDescent="0.35">
      <c r="A207" s="434"/>
      <c r="B207" s="619" t="s">
        <v>372</v>
      </c>
      <c r="C207" s="258" t="s">
        <v>63</v>
      </c>
      <c r="D207" s="259" t="s">
        <v>87</v>
      </c>
      <c r="E207" s="259" t="s">
        <v>38</v>
      </c>
      <c r="F207" s="260" t="s">
        <v>103</v>
      </c>
      <c r="G207" s="73"/>
      <c r="H207" s="267">
        <f>H208</f>
        <v>87.3</v>
      </c>
      <c r="I207" s="267">
        <f>I208</f>
        <v>87.3</v>
      </c>
    </row>
    <row r="208" spans="1:9" ht="36" x14ac:dyDescent="0.35">
      <c r="A208" s="434"/>
      <c r="B208" s="619" t="s">
        <v>53</v>
      </c>
      <c r="C208" s="258" t="s">
        <v>63</v>
      </c>
      <c r="D208" s="259" t="s">
        <v>87</v>
      </c>
      <c r="E208" s="259" t="s">
        <v>38</v>
      </c>
      <c r="F208" s="260" t="s">
        <v>103</v>
      </c>
      <c r="G208" s="73" t="s">
        <v>54</v>
      </c>
      <c r="H208" s="267">
        <f>'прил9 (ведом 25-26)'!M508</f>
        <v>87.3</v>
      </c>
      <c r="I208" s="267">
        <f>'прил9 (ведом 25-26)'!N508</f>
        <v>87.3</v>
      </c>
    </row>
    <row r="209" spans="1:9" ht="36" x14ac:dyDescent="0.35">
      <c r="A209" s="434"/>
      <c r="B209" s="607" t="s">
        <v>488</v>
      </c>
      <c r="C209" s="259" t="s">
        <v>63</v>
      </c>
      <c r="D209" s="259" t="s">
        <v>87</v>
      </c>
      <c r="E209" s="259" t="s">
        <v>61</v>
      </c>
      <c r="F209" s="260" t="s">
        <v>43</v>
      </c>
      <c r="G209" s="73"/>
      <c r="H209" s="267">
        <f>H210</f>
        <v>15.4</v>
      </c>
      <c r="I209" s="267">
        <f>I210</f>
        <v>15.4</v>
      </c>
    </row>
    <row r="210" spans="1:9" ht="18" x14ac:dyDescent="0.35">
      <c r="A210" s="434"/>
      <c r="B210" s="607" t="s">
        <v>486</v>
      </c>
      <c r="C210" s="259" t="s">
        <v>63</v>
      </c>
      <c r="D210" s="259" t="s">
        <v>87</v>
      </c>
      <c r="E210" s="259" t="s">
        <v>61</v>
      </c>
      <c r="F210" s="260" t="s">
        <v>487</v>
      </c>
      <c r="G210" s="73"/>
      <c r="H210" s="267">
        <f>H211</f>
        <v>15.4</v>
      </c>
      <c r="I210" s="267">
        <f>I211</f>
        <v>15.4</v>
      </c>
    </row>
    <row r="211" spans="1:9" ht="36" x14ac:dyDescent="0.35">
      <c r="A211" s="434"/>
      <c r="B211" s="619" t="s">
        <v>53</v>
      </c>
      <c r="C211" s="259" t="s">
        <v>63</v>
      </c>
      <c r="D211" s="259" t="s">
        <v>87</v>
      </c>
      <c r="E211" s="259" t="s">
        <v>61</v>
      </c>
      <c r="F211" s="260" t="s">
        <v>487</v>
      </c>
      <c r="G211" s="73" t="s">
        <v>54</v>
      </c>
      <c r="H211" s="267">
        <f>'прил9 (ведом 25-26)'!M511</f>
        <v>15.4</v>
      </c>
      <c r="I211" s="267">
        <f>'прил9 (ведом 25-26)'!N511</f>
        <v>15.4</v>
      </c>
    </row>
    <row r="212" spans="1:9" ht="36" x14ac:dyDescent="0.35">
      <c r="A212" s="434"/>
      <c r="B212" s="619" t="s">
        <v>491</v>
      </c>
      <c r="C212" s="259" t="s">
        <v>63</v>
      </c>
      <c r="D212" s="259" t="s">
        <v>87</v>
      </c>
      <c r="E212" s="259" t="s">
        <v>50</v>
      </c>
      <c r="F212" s="794" t="s">
        <v>43</v>
      </c>
      <c r="G212" s="297"/>
      <c r="H212" s="267">
        <f>H213</f>
        <v>46.5</v>
      </c>
      <c r="I212" s="267">
        <f>I213</f>
        <v>46.5</v>
      </c>
    </row>
    <row r="213" spans="1:9" ht="36" x14ac:dyDescent="0.35">
      <c r="A213" s="434"/>
      <c r="B213" s="620" t="s">
        <v>125</v>
      </c>
      <c r="C213" s="259" t="s">
        <v>63</v>
      </c>
      <c r="D213" s="259" t="s">
        <v>87</v>
      </c>
      <c r="E213" s="259" t="s">
        <v>50</v>
      </c>
      <c r="F213" s="458" t="s">
        <v>88</v>
      </c>
      <c r="G213" s="297"/>
      <c r="H213" s="267">
        <f>H214</f>
        <v>46.5</v>
      </c>
      <c r="I213" s="267">
        <f>I214</f>
        <v>46.5</v>
      </c>
    </row>
    <row r="214" spans="1:9" ht="36" x14ac:dyDescent="0.35">
      <c r="A214" s="434"/>
      <c r="B214" s="619" t="s">
        <v>53</v>
      </c>
      <c r="C214" s="259" t="s">
        <v>63</v>
      </c>
      <c r="D214" s="259" t="s">
        <v>87</v>
      </c>
      <c r="E214" s="259" t="s">
        <v>50</v>
      </c>
      <c r="F214" s="794" t="s">
        <v>88</v>
      </c>
      <c r="G214" s="297" t="s">
        <v>54</v>
      </c>
      <c r="H214" s="267">
        <f>'прил9 (ведом 25-26)'!M514</f>
        <v>46.5</v>
      </c>
      <c r="I214" s="267">
        <f>'прил9 (ведом 25-26)'!N514</f>
        <v>46.5</v>
      </c>
    </row>
    <row r="215" spans="1:9" ht="18" x14ac:dyDescent="0.35">
      <c r="A215" s="434"/>
      <c r="B215" s="606"/>
      <c r="C215" s="259"/>
      <c r="D215" s="259"/>
      <c r="E215" s="259"/>
      <c r="F215" s="260"/>
      <c r="G215" s="73"/>
      <c r="H215" s="267"/>
      <c r="I215" s="267"/>
    </row>
    <row r="216" spans="1:9" s="444" customFormat="1" ht="52.2" x14ac:dyDescent="0.3">
      <c r="A216" s="449">
        <v>5</v>
      </c>
      <c r="B216" s="605" t="s">
        <v>78</v>
      </c>
      <c r="C216" s="450" t="s">
        <v>79</v>
      </c>
      <c r="D216" s="450" t="s">
        <v>41</v>
      </c>
      <c r="E216" s="450" t="s">
        <v>42</v>
      </c>
      <c r="F216" s="451" t="s">
        <v>43</v>
      </c>
      <c r="G216" s="443"/>
      <c r="H216" s="310">
        <f>H230+H217+H223+H236</f>
        <v>14790.1</v>
      </c>
      <c r="I216" s="310">
        <f>I230+I217+I223+I236</f>
        <v>14790.6</v>
      </c>
    </row>
    <row r="217" spans="1:9" ht="54" x14ac:dyDescent="0.35">
      <c r="A217" s="434"/>
      <c r="B217" s="614" t="s">
        <v>80</v>
      </c>
      <c r="C217" s="258" t="s">
        <v>79</v>
      </c>
      <c r="D217" s="259" t="s">
        <v>44</v>
      </c>
      <c r="E217" s="259" t="s">
        <v>42</v>
      </c>
      <c r="F217" s="260" t="s">
        <v>43</v>
      </c>
      <c r="G217" s="297"/>
      <c r="H217" s="267">
        <f>H218</f>
        <v>362.29999999999995</v>
      </c>
      <c r="I217" s="267">
        <f>I218</f>
        <v>362.29999999999995</v>
      </c>
    </row>
    <row r="218" spans="1:9" ht="72" x14ac:dyDescent="0.35">
      <c r="A218" s="434"/>
      <c r="B218" s="606" t="s">
        <v>81</v>
      </c>
      <c r="C218" s="258" t="s">
        <v>79</v>
      </c>
      <c r="D218" s="259" t="s">
        <v>44</v>
      </c>
      <c r="E218" s="259" t="s">
        <v>36</v>
      </c>
      <c r="F218" s="260" t="s">
        <v>43</v>
      </c>
      <c r="G218" s="73"/>
      <c r="H218" s="267">
        <f>H219+H221</f>
        <v>362.29999999999995</v>
      </c>
      <c r="I218" s="267">
        <f>I219+I221</f>
        <v>362.29999999999995</v>
      </c>
    </row>
    <row r="219" spans="1:9" ht="36" x14ac:dyDescent="0.35">
      <c r="A219" s="434"/>
      <c r="B219" s="645" t="s">
        <v>471</v>
      </c>
      <c r="C219" s="258" t="s">
        <v>79</v>
      </c>
      <c r="D219" s="259" t="s">
        <v>44</v>
      </c>
      <c r="E219" s="259" t="s">
        <v>36</v>
      </c>
      <c r="F219" s="260" t="s">
        <v>82</v>
      </c>
      <c r="G219" s="73"/>
      <c r="H219" s="267">
        <f>H220</f>
        <v>298.39999999999998</v>
      </c>
      <c r="I219" s="267">
        <f>I220</f>
        <v>298.39999999999998</v>
      </c>
    </row>
    <row r="220" spans="1:9" ht="36" x14ac:dyDescent="0.35">
      <c r="A220" s="434"/>
      <c r="B220" s="607" t="s">
        <v>53</v>
      </c>
      <c r="C220" s="258" t="s">
        <v>79</v>
      </c>
      <c r="D220" s="259" t="s">
        <v>44</v>
      </c>
      <c r="E220" s="259" t="s">
        <v>36</v>
      </c>
      <c r="F220" s="260" t="s">
        <v>82</v>
      </c>
      <c r="G220" s="73" t="s">
        <v>54</v>
      </c>
      <c r="H220" s="267">
        <f>'прил9 (ведом 25-26)'!M87</f>
        <v>298.39999999999998</v>
      </c>
      <c r="I220" s="267">
        <f>'прил9 (ведом 25-26)'!N87</f>
        <v>298.39999999999998</v>
      </c>
    </row>
    <row r="221" spans="1:9" ht="36" x14ac:dyDescent="0.35">
      <c r="A221" s="434"/>
      <c r="B221" s="607" t="s">
        <v>83</v>
      </c>
      <c r="C221" s="258" t="s">
        <v>79</v>
      </c>
      <c r="D221" s="259" t="s">
        <v>44</v>
      </c>
      <c r="E221" s="259" t="s">
        <v>36</v>
      </c>
      <c r="F221" s="260" t="s">
        <v>84</v>
      </c>
      <c r="G221" s="73"/>
      <c r="H221" s="267">
        <f>H222</f>
        <v>63.9</v>
      </c>
      <c r="I221" s="267">
        <f>I222</f>
        <v>63.9</v>
      </c>
    </row>
    <row r="222" spans="1:9" ht="36" x14ac:dyDescent="0.35">
      <c r="A222" s="434"/>
      <c r="B222" s="607" t="s">
        <v>53</v>
      </c>
      <c r="C222" s="258" t="s">
        <v>79</v>
      </c>
      <c r="D222" s="259" t="s">
        <v>44</v>
      </c>
      <c r="E222" s="259" t="s">
        <v>36</v>
      </c>
      <c r="F222" s="260" t="s">
        <v>84</v>
      </c>
      <c r="G222" s="73" t="s">
        <v>54</v>
      </c>
      <c r="H222" s="267">
        <f>'прил9 (ведом 25-26)'!M89</f>
        <v>63.9</v>
      </c>
      <c r="I222" s="267">
        <f>'прил9 (ведом 25-26)'!N89</f>
        <v>63.9</v>
      </c>
    </row>
    <row r="223" spans="1:9" ht="36" x14ac:dyDescent="0.35">
      <c r="A223" s="434"/>
      <c r="B223" s="621" t="s">
        <v>123</v>
      </c>
      <c r="C223" s="258" t="s">
        <v>79</v>
      </c>
      <c r="D223" s="259" t="s">
        <v>87</v>
      </c>
      <c r="E223" s="259" t="s">
        <v>42</v>
      </c>
      <c r="F223" s="260" t="s">
        <v>43</v>
      </c>
      <c r="G223" s="297"/>
      <c r="H223" s="267">
        <f>H224+H227</f>
        <v>1747.4</v>
      </c>
      <c r="I223" s="267">
        <f>I224+I227</f>
        <v>1747.4</v>
      </c>
    </row>
    <row r="224" spans="1:9" ht="36" x14ac:dyDescent="0.35">
      <c r="A224" s="434"/>
      <c r="B224" s="607" t="s">
        <v>285</v>
      </c>
      <c r="C224" s="258" t="s">
        <v>79</v>
      </c>
      <c r="D224" s="259" t="s">
        <v>87</v>
      </c>
      <c r="E224" s="259" t="s">
        <v>36</v>
      </c>
      <c r="F224" s="260" t="s">
        <v>43</v>
      </c>
      <c r="G224" s="73"/>
      <c r="H224" s="267">
        <f>H225</f>
        <v>28.7</v>
      </c>
      <c r="I224" s="267">
        <f>I225</f>
        <v>28.7</v>
      </c>
    </row>
    <row r="225" spans="1:9" ht="36" x14ac:dyDescent="0.35">
      <c r="A225" s="434"/>
      <c r="B225" s="644" t="s">
        <v>125</v>
      </c>
      <c r="C225" s="258" t="s">
        <v>79</v>
      </c>
      <c r="D225" s="259" t="s">
        <v>87</v>
      </c>
      <c r="E225" s="259" t="s">
        <v>36</v>
      </c>
      <c r="F225" s="260" t="s">
        <v>88</v>
      </c>
      <c r="G225" s="73"/>
      <c r="H225" s="267">
        <f>H226</f>
        <v>28.7</v>
      </c>
      <c r="I225" s="267">
        <f>I226</f>
        <v>28.7</v>
      </c>
    </row>
    <row r="226" spans="1:9" ht="36" x14ac:dyDescent="0.35">
      <c r="A226" s="434"/>
      <c r="B226" s="607" t="s">
        <v>53</v>
      </c>
      <c r="C226" s="258" t="s">
        <v>79</v>
      </c>
      <c r="D226" s="259" t="s">
        <v>87</v>
      </c>
      <c r="E226" s="259" t="s">
        <v>36</v>
      </c>
      <c r="F226" s="260" t="s">
        <v>88</v>
      </c>
      <c r="G226" s="73" t="s">
        <v>54</v>
      </c>
      <c r="H226" s="267">
        <f>'прил9 (ведом 25-26)'!M95</f>
        <v>28.7</v>
      </c>
      <c r="I226" s="267">
        <f>'прил9 (ведом 25-26)'!N95</f>
        <v>28.7</v>
      </c>
    </row>
    <row r="227" spans="1:9" ht="54" x14ac:dyDescent="0.35">
      <c r="A227" s="434"/>
      <c r="B227" s="644" t="s">
        <v>124</v>
      </c>
      <c r="C227" s="258" t="s">
        <v>79</v>
      </c>
      <c r="D227" s="259" t="s">
        <v>87</v>
      </c>
      <c r="E227" s="259" t="s">
        <v>38</v>
      </c>
      <c r="F227" s="260" t="s">
        <v>43</v>
      </c>
      <c r="G227" s="73"/>
      <c r="H227" s="267">
        <f>H228</f>
        <v>1718.7</v>
      </c>
      <c r="I227" s="267">
        <f>I228</f>
        <v>1718.7</v>
      </c>
    </row>
    <row r="228" spans="1:9" ht="36" x14ac:dyDescent="0.35">
      <c r="A228" s="434"/>
      <c r="B228" s="644" t="s">
        <v>125</v>
      </c>
      <c r="C228" s="258" t="s">
        <v>79</v>
      </c>
      <c r="D228" s="259" t="s">
        <v>87</v>
      </c>
      <c r="E228" s="259" t="s">
        <v>38</v>
      </c>
      <c r="F228" s="260" t="s">
        <v>88</v>
      </c>
      <c r="G228" s="73"/>
      <c r="H228" s="267">
        <f>H229</f>
        <v>1718.7</v>
      </c>
      <c r="I228" s="267">
        <f>I229</f>
        <v>1718.7</v>
      </c>
    </row>
    <row r="229" spans="1:9" ht="36" x14ac:dyDescent="0.35">
      <c r="A229" s="434"/>
      <c r="B229" s="607" t="s">
        <v>53</v>
      </c>
      <c r="C229" s="258" t="s">
        <v>79</v>
      </c>
      <c r="D229" s="259" t="s">
        <v>87</v>
      </c>
      <c r="E229" s="259" t="s">
        <v>38</v>
      </c>
      <c r="F229" s="260" t="s">
        <v>88</v>
      </c>
      <c r="G229" s="73" t="s">
        <v>54</v>
      </c>
      <c r="H229" s="267">
        <f>'прил9 (ведом 25-26)'!M98</f>
        <v>1718.7</v>
      </c>
      <c r="I229" s="267">
        <f>'прил9 (ведом 25-26)'!N98</f>
        <v>1718.7</v>
      </c>
    </row>
    <row r="230" spans="1:9" ht="54" x14ac:dyDescent="0.35">
      <c r="A230" s="434"/>
      <c r="B230" s="623" t="s">
        <v>389</v>
      </c>
      <c r="C230" s="258" t="s">
        <v>79</v>
      </c>
      <c r="D230" s="259" t="s">
        <v>29</v>
      </c>
      <c r="E230" s="259" t="s">
        <v>42</v>
      </c>
      <c r="F230" s="260" t="s">
        <v>43</v>
      </c>
      <c r="G230" s="73"/>
      <c r="H230" s="267">
        <f>H231</f>
        <v>12651.7</v>
      </c>
      <c r="I230" s="267">
        <f>I231</f>
        <v>12652.2</v>
      </c>
    </row>
    <row r="231" spans="1:9" ht="54" x14ac:dyDescent="0.35">
      <c r="A231" s="434"/>
      <c r="B231" s="622" t="s">
        <v>343</v>
      </c>
      <c r="C231" s="258" t="s">
        <v>79</v>
      </c>
      <c r="D231" s="259" t="s">
        <v>29</v>
      </c>
      <c r="E231" s="259" t="s">
        <v>36</v>
      </c>
      <c r="F231" s="260" t="s">
        <v>43</v>
      </c>
      <c r="G231" s="73"/>
      <c r="H231" s="267">
        <f>H232</f>
        <v>12651.7</v>
      </c>
      <c r="I231" s="267">
        <f>I232</f>
        <v>12652.2</v>
      </c>
    </row>
    <row r="232" spans="1:9" ht="36" x14ac:dyDescent="0.35">
      <c r="A232" s="434"/>
      <c r="B232" s="606" t="s">
        <v>484</v>
      </c>
      <c r="C232" s="258" t="s">
        <v>79</v>
      </c>
      <c r="D232" s="259" t="s">
        <v>29</v>
      </c>
      <c r="E232" s="259" t="s">
        <v>36</v>
      </c>
      <c r="F232" s="260" t="s">
        <v>89</v>
      </c>
      <c r="G232" s="73"/>
      <c r="H232" s="267">
        <f>SUM(H233:H235)</f>
        <v>12651.7</v>
      </c>
      <c r="I232" s="267">
        <f>SUM(I233:I235)</f>
        <v>12652.2</v>
      </c>
    </row>
    <row r="233" spans="1:9" s="444" customFormat="1" ht="90" x14ac:dyDescent="0.35">
      <c r="A233" s="434"/>
      <c r="B233" s="606" t="s">
        <v>48</v>
      </c>
      <c r="C233" s="258" t="s">
        <v>79</v>
      </c>
      <c r="D233" s="259" t="s">
        <v>29</v>
      </c>
      <c r="E233" s="259" t="s">
        <v>36</v>
      </c>
      <c r="F233" s="260" t="s">
        <v>89</v>
      </c>
      <c r="G233" s="73" t="s">
        <v>49</v>
      </c>
      <c r="H233" s="267">
        <f>'прил9 (ведом 25-26)'!M102</f>
        <v>9327.7000000000007</v>
      </c>
      <c r="I233" s="267">
        <f>'прил9 (ведом 25-26)'!N102</f>
        <v>9327.7000000000007</v>
      </c>
    </row>
    <row r="234" spans="1:9" ht="36" x14ac:dyDescent="0.35">
      <c r="A234" s="434"/>
      <c r="B234" s="606" t="s">
        <v>53</v>
      </c>
      <c r="C234" s="258" t="s">
        <v>79</v>
      </c>
      <c r="D234" s="259" t="s">
        <v>29</v>
      </c>
      <c r="E234" s="259" t="s">
        <v>36</v>
      </c>
      <c r="F234" s="260" t="s">
        <v>89</v>
      </c>
      <c r="G234" s="73" t="s">
        <v>54</v>
      </c>
      <c r="H234" s="267">
        <f>'прил9 (ведом 25-26)'!M103</f>
        <v>3320.7</v>
      </c>
      <c r="I234" s="267">
        <f>'прил9 (ведом 25-26)'!N103</f>
        <v>3321.2</v>
      </c>
    </row>
    <row r="235" spans="1:9" ht="18" x14ac:dyDescent="0.35">
      <c r="A235" s="434"/>
      <c r="B235" s="607" t="s">
        <v>55</v>
      </c>
      <c r="C235" s="258" t="s">
        <v>79</v>
      </c>
      <c r="D235" s="259" t="s">
        <v>29</v>
      </c>
      <c r="E235" s="259" t="s">
        <v>36</v>
      </c>
      <c r="F235" s="260" t="s">
        <v>89</v>
      </c>
      <c r="G235" s="73" t="s">
        <v>56</v>
      </c>
      <c r="H235" s="267">
        <f>'прил9 (ведом 25-26)'!M104</f>
        <v>3.3</v>
      </c>
      <c r="I235" s="267">
        <f>'прил9 (ведом 25-26)'!N104</f>
        <v>3.3</v>
      </c>
    </row>
    <row r="236" spans="1:9" ht="54" x14ac:dyDescent="0.35">
      <c r="A236" s="434"/>
      <c r="B236" s="646" t="s">
        <v>504</v>
      </c>
      <c r="C236" s="258" t="s">
        <v>79</v>
      </c>
      <c r="D236" s="259" t="s">
        <v>30</v>
      </c>
      <c r="E236" s="259" t="s">
        <v>42</v>
      </c>
      <c r="F236" s="260" t="s">
        <v>43</v>
      </c>
      <c r="G236" s="73"/>
      <c r="H236" s="267">
        <f t="shared" ref="H236:I238" si="0">H237</f>
        <v>28.7</v>
      </c>
      <c r="I236" s="267">
        <f t="shared" si="0"/>
        <v>28.7</v>
      </c>
    </row>
    <row r="237" spans="1:9" ht="54" x14ac:dyDescent="0.35">
      <c r="A237" s="434"/>
      <c r="B237" s="647" t="s">
        <v>505</v>
      </c>
      <c r="C237" s="258" t="s">
        <v>79</v>
      </c>
      <c r="D237" s="259" t="s">
        <v>30</v>
      </c>
      <c r="E237" s="259" t="s">
        <v>36</v>
      </c>
      <c r="F237" s="260" t="s">
        <v>43</v>
      </c>
      <c r="G237" s="73"/>
      <c r="H237" s="267">
        <f t="shared" si="0"/>
        <v>28.7</v>
      </c>
      <c r="I237" s="267">
        <f t="shared" si="0"/>
        <v>28.7</v>
      </c>
    </row>
    <row r="238" spans="1:9" ht="36" x14ac:dyDescent="0.35">
      <c r="A238" s="434"/>
      <c r="B238" s="648" t="s">
        <v>83</v>
      </c>
      <c r="C238" s="258" t="s">
        <v>79</v>
      </c>
      <c r="D238" s="259" t="s">
        <v>30</v>
      </c>
      <c r="E238" s="259" t="s">
        <v>36</v>
      </c>
      <c r="F238" s="260" t="s">
        <v>84</v>
      </c>
      <c r="G238" s="73"/>
      <c r="H238" s="267">
        <f t="shared" si="0"/>
        <v>28.7</v>
      </c>
      <c r="I238" s="267">
        <f t="shared" si="0"/>
        <v>28.7</v>
      </c>
    </row>
    <row r="239" spans="1:9" ht="36" x14ac:dyDescent="0.35">
      <c r="A239" s="434"/>
      <c r="B239" s="649" t="s">
        <v>53</v>
      </c>
      <c r="C239" s="258" t="s">
        <v>79</v>
      </c>
      <c r="D239" s="259" t="s">
        <v>30</v>
      </c>
      <c r="E239" s="259" t="s">
        <v>36</v>
      </c>
      <c r="F239" s="260" t="s">
        <v>84</v>
      </c>
      <c r="G239" s="73" t="s">
        <v>54</v>
      </c>
      <c r="H239" s="267">
        <f>'прил9 (ведом 25-26)'!M108</f>
        <v>28.7</v>
      </c>
      <c r="I239" s="267">
        <f>'прил9 (ведом 25-26)'!N108</f>
        <v>28.7</v>
      </c>
    </row>
    <row r="240" spans="1:9" ht="18" x14ac:dyDescent="0.35">
      <c r="A240" s="459"/>
      <c r="B240" s="609"/>
      <c r="C240" s="460"/>
      <c r="D240" s="793"/>
      <c r="E240" s="793"/>
      <c r="F240" s="794"/>
      <c r="G240" s="297"/>
      <c r="H240" s="267"/>
      <c r="I240" s="267"/>
    </row>
    <row r="241" spans="1:9" s="444" customFormat="1" ht="52.2" x14ac:dyDescent="0.3">
      <c r="A241" s="449">
        <v>6</v>
      </c>
      <c r="B241" s="618" t="s">
        <v>220</v>
      </c>
      <c r="C241" s="441" t="s">
        <v>221</v>
      </c>
      <c r="D241" s="441" t="s">
        <v>41</v>
      </c>
      <c r="E241" s="441" t="s">
        <v>42</v>
      </c>
      <c r="F241" s="442" t="s">
        <v>43</v>
      </c>
      <c r="G241" s="443"/>
      <c r="H241" s="310">
        <f>H242</f>
        <v>45787.5</v>
      </c>
      <c r="I241" s="310">
        <f>I242</f>
        <v>45788.3</v>
      </c>
    </row>
    <row r="242" spans="1:9" ht="18" x14ac:dyDescent="0.35">
      <c r="A242" s="434"/>
      <c r="B242" s="606" t="s">
        <v>359</v>
      </c>
      <c r="C242" s="461" t="s">
        <v>221</v>
      </c>
      <c r="D242" s="462" t="s">
        <v>44</v>
      </c>
      <c r="E242" s="259" t="s">
        <v>42</v>
      </c>
      <c r="F242" s="260" t="s">
        <v>43</v>
      </c>
      <c r="G242" s="73"/>
      <c r="H242" s="267">
        <f>H243+H250+H253+H256</f>
        <v>45787.5</v>
      </c>
      <c r="I242" s="267">
        <f>I243+I250+I253+I256</f>
        <v>45788.3</v>
      </c>
    </row>
    <row r="243" spans="1:9" ht="36" x14ac:dyDescent="0.35">
      <c r="A243" s="434"/>
      <c r="B243" s="606" t="s">
        <v>317</v>
      </c>
      <c r="C243" s="461" t="s">
        <v>221</v>
      </c>
      <c r="D243" s="462" t="s">
        <v>44</v>
      </c>
      <c r="E243" s="259" t="s">
        <v>36</v>
      </c>
      <c r="F243" s="260" t="s">
        <v>43</v>
      </c>
      <c r="G243" s="73"/>
      <c r="H243" s="267">
        <f>H244+H248</f>
        <v>33679.1</v>
      </c>
      <c r="I243" s="267">
        <f>I244+I248</f>
        <v>33679.9</v>
      </c>
    </row>
    <row r="244" spans="1:9" ht="36" x14ac:dyDescent="0.35">
      <c r="A244" s="434"/>
      <c r="B244" s="606" t="s">
        <v>46</v>
      </c>
      <c r="C244" s="461" t="s">
        <v>221</v>
      </c>
      <c r="D244" s="462" t="s">
        <v>44</v>
      </c>
      <c r="E244" s="259" t="s">
        <v>36</v>
      </c>
      <c r="F244" s="260" t="s">
        <v>47</v>
      </c>
      <c r="G244" s="73"/>
      <c r="H244" s="267">
        <f>SUM(H245:H247)</f>
        <v>33563.5</v>
      </c>
      <c r="I244" s="267">
        <f>SUM(I245:I247)</f>
        <v>33564.300000000003</v>
      </c>
    </row>
    <row r="245" spans="1:9" ht="90" x14ac:dyDescent="0.35">
      <c r="A245" s="434"/>
      <c r="B245" s="606" t="s">
        <v>48</v>
      </c>
      <c r="C245" s="461" t="s">
        <v>221</v>
      </c>
      <c r="D245" s="462" t="s">
        <v>44</v>
      </c>
      <c r="E245" s="259" t="s">
        <v>36</v>
      </c>
      <c r="F245" s="260" t="s">
        <v>47</v>
      </c>
      <c r="G245" s="73" t="s">
        <v>49</v>
      </c>
      <c r="H245" s="267">
        <f>'прил9 (ведом 25-26)'!M168</f>
        <v>32722.7</v>
      </c>
      <c r="I245" s="267">
        <f>'прил9 (ведом 25-26)'!N168</f>
        <v>32722.7</v>
      </c>
    </row>
    <row r="246" spans="1:9" ht="36" x14ac:dyDescent="0.35">
      <c r="A246" s="434"/>
      <c r="B246" s="607" t="s">
        <v>53</v>
      </c>
      <c r="C246" s="461" t="s">
        <v>221</v>
      </c>
      <c r="D246" s="462" t="s">
        <v>44</v>
      </c>
      <c r="E246" s="259" t="s">
        <v>36</v>
      </c>
      <c r="F246" s="260" t="s">
        <v>47</v>
      </c>
      <c r="G246" s="73" t="s">
        <v>54</v>
      </c>
      <c r="H246" s="267">
        <f>'прил9 (ведом 25-26)'!M169</f>
        <v>836.3</v>
      </c>
      <c r="I246" s="267">
        <f>'прил9 (ведом 25-26)'!N169</f>
        <v>837.2</v>
      </c>
    </row>
    <row r="247" spans="1:9" ht="18" x14ac:dyDescent="0.35">
      <c r="A247" s="434"/>
      <c r="B247" s="607" t="s">
        <v>55</v>
      </c>
      <c r="C247" s="461" t="s">
        <v>221</v>
      </c>
      <c r="D247" s="462" t="s">
        <v>44</v>
      </c>
      <c r="E247" s="259" t="s">
        <v>36</v>
      </c>
      <c r="F247" s="260" t="s">
        <v>47</v>
      </c>
      <c r="G247" s="73" t="s">
        <v>56</v>
      </c>
      <c r="H247" s="267">
        <f>'прил9 (ведом 25-26)'!M170</f>
        <v>4.5</v>
      </c>
      <c r="I247" s="267">
        <f>'прил9 (ведом 25-26)'!N170</f>
        <v>4.4000000000000004</v>
      </c>
    </row>
    <row r="248" spans="1:9" ht="36" x14ac:dyDescent="0.35">
      <c r="A248" s="434"/>
      <c r="B248" s="610" t="s">
        <v>544</v>
      </c>
      <c r="C248" s="461" t="s">
        <v>221</v>
      </c>
      <c r="D248" s="462" t="s">
        <v>44</v>
      </c>
      <c r="E248" s="259" t="s">
        <v>36</v>
      </c>
      <c r="F248" s="260" t="s">
        <v>543</v>
      </c>
      <c r="G248" s="73"/>
      <c r="H248" s="267">
        <f>H249</f>
        <v>115.6</v>
      </c>
      <c r="I248" s="267">
        <f>I249</f>
        <v>115.6</v>
      </c>
    </row>
    <row r="249" spans="1:9" ht="36" x14ac:dyDescent="0.35">
      <c r="A249" s="434"/>
      <c r="B249" s="610" t="s">
        <v>53</v>
      </c>
      <c r="C249" s="461" t="s">
        <v>221</v>
      </c>
      <c r="D249" s="462" t="s">
        <v>44</v>
      </c>
      <c r="E249" s="259" t="s">
        <v>36</v>
      </c>
      <c r="F249" s="260" t="s">
        <v>543</v>
      </c>
      <c r="G249" s="73" t="s">
        <v>54</v>
      </c>
      <c r="H249" s="267">
        <f>'прил9 (ведом 25-26)'!M186</f>
        <v>115.6</v>
      </c>
      <c r="I249" s="267">
        <f>'прил9 (ведом 25-26)'!N186</f>
        <v>115.6</v>
      </c>
    </row>
    <row r="250" spans="1:9" ht="18" x14ac:dyDescent="0.35">
      <c r="A250" s="434"/>
      <c r="B250" s="606" t="s">
        <v>318</v>
      </c>
      <c r="C250" s="461" t="s">
        <v>221</v>
      </c>
      <c r="D250" s="462" t="s">
        <v>44</v>
      </c>
      <c r="E250" s="259" t="s">
        <v>38</v>
      </c>
      <c r="F250" s="260" t="s">
        <v>43</v>
      </c>
      <c r="G250" s="73"/>
      <c r="H250" s="267">
        <f>H251</f>
        <v>9000</v>
      </c>
      <c r="I250" s="267">
        <f>I251</f>
        <v>9000</v>
      </c>
    </row>
    <row r="251" spans="1:9" ht="36" x14ac:dyDescent="0.35">
      <c r="A251" s="434"/>
      <c r="B251" s="607" t="s">
        <v>272</v>
      </c>
      <c r="C251" s="461" t="s">
        <v>221</v>
      </c>
      <c r="D251" s="462" t="s">
        <v>44</v>
      </c>
      <c r="E251" s="259" t="s">
        <v>38</v>
      </c>
      <c r="F251" s="260" t="s">
        <v>427</v>
      </c>
      <c r="G251" s="73"/>
      <c r="H251" s="267">
        <f>H252</f>
        <v>9000</v>
      </c>
      <c r="I251" s="267">
        <f>I252</f>
        <v>9000</v>
      </c>
    </row>
    <row r="252" spans="1:9" ht="18" x14ac:dyDescent="0.35">
      <c r="A252" s="434"/>
      <c r="B252" s="607" t="s">
        <v>121</v>
      </c>
      <c r="C252" s="461" t="s">
        <v>221</v>
      </c>
      <c r="D252" s="462" t="s">
        <v>44</v>
      </c>
      <c r="E252" s="259" t="s">
        <v>38</v>
      </c>
      <c r="F252" s="260" t="s">
        <v>427</v>
      </c>
      <c r="G252" s="73" t="s">
        <v>122</v>
      </c>
      <c r="H252" s="267">
        <f>'прил9 (ведом 25-26)'!M193</f>
        <v>9000</v>
      </c>
      <c r="I252" s="267">
        <f>'прил9 (ведом 25-26)'!N193</f>
        <v>9000</v>
      </c>
    </row>
    <row r="253" spans="1:9" ht="36" x14ac:dyDescent="0.35">
      <c r="A253" s="434"/>
      <c r="B253" s="606" t="s">
        <v>371</v>
      </c>
      <c r="C253" s="461" t="s">
        <v>221</v>
      </c>
      <c r="D253" s="462" t="s">
        <v>44</v>
      </c>
      <c r="E253" s="259" t="s">
        <v>61</v>
      </c>
      <c r="F253" s="260" t="s">
        <v>43</v>
      </c>
      <c r="G253" s="73"/>
      <c r="H253" s="267">
        <f>H254</f>
        <v>3090.8</v>
      </c>
      <c r="I253" s="267">
        <f>I254</f>
        <v>3090.8</v>
      </c>
    </row>
    <row r="254" spans="1:9" ht="54" x14ac:dyDescent="0.35">
      <c r="A254" s="434"/>
      <c r="B254" s="606" t="s">
        <v>372</v>
      </c>
      <c r="C254" s="461" t="s">
        <v>221</v>
      </c>
      <c r="D254" s="462" t="s">
        <v>44</v>
      </c>
      <c r="E254" s="259" t="s">
        <v>61</v>
      </c>
      <c r="F254" s="260" t="s">
        <v>103</v>
      </c>
      <c r="G254" s="73"/>
      <c r="H254" s="267">
        <f>H255</f>
        <v>3090.8</v>
      </c>
      <c r="I254" s="267">
        <f>I255</f>
        <v>3090.8</v>
      </c>
    </row>
    <row r="255" spans="1:9" ht="36" x14ac:dyDescent="0.35">
      <c r="A255" s="434"/>
      <c r="B255" s="606" t="s">
        <v>53</v>
      </c>
      <c r="C255" s="461" t="s">
        <v>221</v>
      </c>
      <c r="D255" s="462" t="s">
        <v>44</v>
      </c>
      <c r="E255" s="259" t="s">
        <v>61</v>
      </c>
      <c r="F255" s="260" t="s">
        <v>103</v>
      </c>
      <c r="G255" s="73" t="s">
        <v>54</v>
      </c>
      <c r="H255" s="267">
        <f>'прил9 (ведом 25-26)'!M176</f>
        <v>3090.8</v>
      </c>
      <c r="I255" s="267">
        <f>'прил9 (ведом 25-26)'!N176</f>
        <v>3090.8</v>
      </c>
    </row>
    <row r="256" spans="1:9" ht="36" x14ac:dyDescent="0.35">
      <c r="A256" s="434"/>
      <c r="B256" s="607" t="s">
        <v>488</v>
      </c>
      <c r="C256" s="461" t="s">
        <v>221</v>
      </c>
      <c r="D256" s="462" t="s">
        <v>44</v>
      </c>
      <c r="E256" s="259" t="s">
        <v>63</v>
      </c>
      <c r="F256" s="260" t="s">
        <v>43</v>
      </c>
      <c r="G256" s="73"/>
      <c r="H256" s="267">
        <f>H257</f>
        <v>17.600000000000001</v>
      </c>
      <c r="I256" s="267">
        <f>I257</f>
        <v>17.600000000000001</v>
      </c>
    </row>
    <row r="257" spans="1:9" ht="18" x14ac:dyDescent="0.35">
      <c r="A257" s="434"/>
      <c r="B257" s="607" t="s">
        <v>486</v>
      </c>
      <c r="C257" s="461" t="s">
        <v>221</v>
      </c>
      <c r="D257" s="462" t="s">
        <v>44</v>
      </c>
      <c r="E257" s="259" t="s">
        <v>63</v>
      </c>
      <c r="F257" s="260" t="s">
        <v>487</v>
      </c>
      <c r="G257" s="73"/>
      <c r="H257" s="267">
        <f>H258</f>
        <v>17.600000000000001</v>
      </c>
      <c r="I257" s="267">
        <f>I258</f>
        <v>17.600000000000001</v>
      </c>
    </row>
    <row r="258" spans="1:9" ht="36" x14ac:dyDescent="0.35">
      <c r="A258" s="434"/>
      <c r="B258" s="607" t="s">
        <v>53</v>
      </c>
      <c r="C258" s="461" t="s">
        <v>221</v>
      </c>
      <c r="D258" s="462" t="s">
        <v>44</v>
      </c>
      <c r="E258" s="259" t="s">
        <v>63</v>
      </c>
      <c r="F258" s="260" t="s">
        <v>487</v>
      </c>
      <c r="G258" s="73" t="s">
        <v>54</v>
      </c>
      <c r="H258" s="267">
        <f>'прил9 (ведом 25-26)'!M179</f>
        <v>17.600000000000001</v>
      </c>
      <c r="I258" s="267">
        <f>'прил9 (ведом 25-26)'!N179</f>
        <v>17.600000000000001</v>
      </c>
    </row>
    <row r="259" spans="1:9" ht="18" x14ac:dyDescent="0.35">
      <c r="A259" s="434"/>
      <c r="B259" s="607"/>
      <c r="C259" s="462"/>
      <c r="D259" s="462"/>
      <c r="E259" s="462"/>
      <c r="F259" s="463"/>
      <c r="G259" s="73"/>
      <c r="H259" s="267"/>
      <c r="I259" s="267"/>
    </row>
    <row r="260" spans="1:9" s="444" customFormat="1" ht="52.2" x14ac:dyDescent="0.3">
      <c r="A260" s="440">
        <v>7</v>
      </c>
      <c r="B260" s="628" t="s">
        <v>222</v>
      </c>
      <c r="C260" s="464" t="s">
        <v>223</v>
      </c>
      <c r="D260" s="450" t="s">
        <v>41</v>
      </c>
      <c r="E260" s="450" t="s">
        <v>42</v>
      </c>
      <c r="F260" s="451" t="s">
        <v>43</v>
      </c>
      <c r="G260" s="465"/>
      <c r="H260" s="310">
        <f>H261+H265</f>
        <v>33178.199999999997</v>
      </c>
      <c r="I260" s="310">
        <f>I261+I265</f>
        <v>33188.700000000004</v>
      </c>
    </row>
    <row r="261" spans="1:9" s="444" customFormat="1" ht="36" x14ac:dyDescent="0.35">
      <c r="A261" s="440"/>
      <c r="B261" s="636" t="s">
        <v>224</v>
      </c>
      <c r="C261" s="466" t="s">
        <v>223</v>
      </c>
      <c r="D261" s="467" t="s">
        <v>44</v>
      </c>
      <c r="E261" s="467" t="s">
        <v>42</v>
      </c>
      <c r="F261" s="468" t="s">
        <v>43</v>
      </c>
      <c r="G261" s="448"/>
      <c r="H261" s="267">
        <f>H262</f>
        <v>1246.5</v>
      </c>
      <c r="I261" s="267">
        <f>I262</f>
        <v>1254.0999999999999</v>
      </c>
    </row>
    <row r="262" spans="1:9" s="444" customFormat="1" ht="36" x14ac:dyDescent="0.35">
      <c r="A262" s="440"/>
      <c r="B262" s="639" t="s">
        <v>358</v>
      </c>
      <c r="C262" s="445" t="s">
        <v>223</v>
      </c>
      <c r="D262" s="446" t="s">
        <v>44</v>
      </c>
      <c r="E262" s="446" t="s">
        <v>38</v>
      </c>
      <c r="F262" s="469" t="s">
        <v>43</v>
      </c>
      <c r="G262" s="448"/>
      <c r="H262" s="267">
        <f>H263</f>
        <v>1246.5</v>
      </c>
      <c r="I262" s="267">
        <f>I263</f>
        <v>1254.0999999999999</v>
      </c>
    </row>
    <row r="263" spans="1:9" s="444" customFormat="1" ht="36" x14ac:dyDescent="0.35">
      <c r="A263" s="440"/>
      <c r="B263" s="639" t="s">
        <v>357</v>
      </c>
      <c r="C263" s="445" t="s">
        <v>223</v>
      </c>
      <c r="D263" s="446" t="s">
        <v>44</v>
      </c>
      <c r="E263" s="446" t="s">
        <v>38</v>
      </c>
      <c r="F263" s="469" t="s">
        <v>356</v>
      </c>
      <c r="G263" s="448"/>
      <c r="H263" s="267">
        <f t="shared" ref="H263:I263" si="1">H264</f>
        <v>1246.5</v>
      </c>
      <c r="I263" s="267">
        <f t="shared" si="1"/>
        <v>1254.0999999999999</v>
      </c>
    </row>
    <row r="264" spans="1:9" s="444" customFormat="1" ht="36" x14ac:dyDescent="0.35">
      <c r="A264" s="440"/>
      <c r="B264" s="639" t="s">
        <v>53</v>
      </c>
      <c r="C264" s="445" t="s">
        <v>223</v>
      </c>
      <c r="D264" s="446" t="s">
        <v>44</v>
      </c>
      <c r="E264" s="446" t="s">
        <v>38</v>
      </c>
      <c r="F264" s="469" t="s">
        <v>356</v>
      </c>
      <c r="G264" s="448" t="s">
        <v>54</v>
      </c>
      <c r="H264" s="267">
        <f>'прил9 (ведом 25-26)'!M212</f>
        <v>1246.5</v>
      </c>
      <c r="I264" s="267">
        <f>'прил9 (ведом 25-26)'!N212</f>
        <v>1254.0999999999999</v>
      </c>
    </row>
    <row r="265" spans="1:9" ht="36" x14ac:dyDescent="0.35">
      <c r="A265" s="459"/>
      <c r="B265" s="629" t="s">
        <v>226</v>
      </c>
      <c r="C265" s="452" t="s">
        <v>223</v>
      </c>
      <c r="D265" s="460" t="s">
        <v>87</v>
      </c>
      <c r="E265" s="460" t="s">
        <v>42</v>
      </c>
      <c r="F265" s="470" t="s">
        <v>43</v>
      </c>
      <c r="G265" s="471"/>
      <c r="H265" s="267">
        <f>H266+H277+H280</f>
        <v>31931.699999999997</v>
      </c>
      <c r="I265" s="267">
        <f>I266+I277+I280</f>
        <v>31934.600000000002</v>
      </c>
    </row>
    <row r="266" spans="1:9" ht="72" x14ac:dyDescent="0.35">
      <c r="A266" s="459"/>
      <c r="B266" s="629" t="s">
        <v>315</v>
      </c>
      <c r="C266" s="452" t="s">
        <v>223</v>
      </c>
      <c r="D266" s="460" t="s">
        <v>87</v>
      </c>
      <c r="E266" s="460" t="s">
        <v>36</v>
      </c>
      <c r="F266" s="470" t="s">
        <v>43</v>
      </c>
      <c r="G266" s="471"/>
      <c r="H266" s="267">
        <f>H267+H271+H275</f>
        <v>31109.899999999998</v>
      </c>
      <c r="I266" s="267">
        <f>I267+I271+I275</f>
        <v>31112.800000000003</v>
      </c>
    </row>
    <row r="267" spans="1:9" ht="36" x14ac:dyDescent="0.35">
      <c r="A267" s="459"/>
      <c r="B267" s="629" t="s">
        <v>46</v>
      </c>
      <c r="C267" s="472" t="s">
        <v>223</v>
      </c>
      <c r="D267" s="473" t="s">
        <v>87</v>
      </c>
      <c r="E267" s="473" t="s">
        <v>36</v>
      </c>
      <c r="F267" s="474" t="s">
        <v>47</v>
      </c>
      <c r="G267" s="471"/>
      <c r="H267" s="267">
        <f>SUM(H268:H270)</f>
        <v>16963.100000000002</v>
      </c>
      <c r="I267" s="267">
        <f>SUM(I268:I270)</f>
        <v>16963.500000000004</v>
      </c>
    </row>
    <row r="268" spans="1:9" ht="90" x14ac:dyDescent="0.35">
      <c r="A268" s="459"/>
      <c r="B268" s="629" t="s">
        <v>48</v>
      </c>
      <c r="C268" s="452" t="s">
        <v>223</v>
      </c>
      <c r="D268" s="460" t="s">
        <v>87</v>
      </c>
      <c r="E268" s="460" t="s">
        <v>36</v>
      </c>
      <c r="F268" s="470" t="s">
        <v>47</v>
      </c>
      <c r="G268" s="471" t="s">
        <v>49</v>
      </c>
      <c r="H268" s="267">
        <f>'прил9 (ведом 25-26)'!M216</f>
        <v>16573.600000000002</v>
      </c>
      <c r="I268" s="267">
        <f>'прил9 (ведом 25-26)'!N216</f>
        <v>16573.600000000002</v>
      </c>
    </row>
    <row r="269" spans="1:9" ht="36" x14ac:dyDescent="0.35">
      <c r="A269" s="459"/>
      <c r="B269" s="639" t="s">
        <v>53</v>
      </c>
      <c r="C269" s="475" t="s">
        <v>223</v>
      </c>
      <c r="D269" s="446" t="s">
        <v>87</v>
      </c>
      <c r="E269" s="446" t="s">
        <v>36</v>
      </c>
      <c r="F269" s="469" t="s">
        <v>47</v>
      </c>
      <c r="G269" s="448" t="s">
        <v>54</v>
      </c>
      <c r="H269" s="267">
        <f>'прил9 (ведом 25-26)'!M217</f>
        <v>388</v>
      </c>
      <c r="I269" s="267">
        <f>'прил9 (ведом 25-26)'!N217</f>
        <v>388.4</v>
      </c>
    </row>
    <row r="270" spans="1:9" ht="18" x14ac:dyDescent="0.35">
      <c r="A270" s="459"/>
      <c r="B270" s="636" t="s">
        <v>55</v>
      </c>
      <c r="C270" s="475" t="s">
        <v>223</v>
      </c>
      <c r="D270" s="446" t="s">
        <v>87</v>
      </c>
      <c r="E270" s="446" t="s">
        <v>36</v>
      </c>
      <c r="F270" s="469" t="s">
        <v>47</v>
      </c>
      <c r="G270" s="448" t="s">
        <v>56</v>
      </c>
      <c r="H270" s="267">
        <f>'прил9 (ведом 25-26)'!M218</f>
        <v>1.5</v>
      </c>
      <c r="I270" s="267">
        <f>'прил9 (ведом 25-26)'!N218</f>
        <v>1.5</v>
      </c>
    </row>
    <row r="271" spans="1:9" ht="36" x14ac:dyDescent="0.35">
      <c r="A271" s="459"/>
      <c r="B271" s="606" t="s">
        <v>484</v>
      </c>
      <c r="C271" s="452" t="s">
        <v>223</v>
      </c>
      <c r="D271" s="460" t="s">
        <v>87</v>
      </c>
      <c r="E271" s="460" t="s">
        <v>36</v>
      </c>
      <c r="F271" s="470" t="s">
        <v>89</v>
      </c>
      <c r="G271" s="471"/>
      <c r="H271" s="267">
        <f>SUM(H272:H274)</f>
        <v>13745.499999999998</v>
      </c>
      <c r="I271" s="267">
        <f>SUM(I272:I274)</f>
        <v>13748</v>
      </c>
    </row>
    <row r="272" spans="1:9" ht="90" x14ac:dyDescent="0.35">
      <c r="A272" s="459"/>
      <c r="B272" s="629" t="s">
        <v>48</v>
      </c>
      <c r="C272" s="452" t="s">
        <v>223</v>
      </c>
      <c r="D272" s="460" t="s">
        <v>87</v>
      </c>
      <c r="E272" s="460" t="s">
        <v>36</v>
      </c>
      <c r="F272" s="470" t="s">
        <v>89</v>
      </c>
      <c r="G272" s="471" t="s">
        <v>49</v>
      </c>
      <c r="H272" s="267">
        <f>'прил9 (ведом 25-26)'!M220</f>
        <v>13035.199999999999</v>
      </c>
      <c r="I272" s="267">
        <f>'прил9 (ведом 25-26)'!N220</f>
        <v>13035.199999999999</v>
      </c>
    </row>
    <row r="273" spans="1:9" ht="36" x14ac:dyDescent="0.35">
      <c r="A273" s="459"/>
      <c r="B273" s="607" t="s">
        <v>53</v>
      </c>
      <c r="C273" s="472" t="s">
        <v>223</v>
      </c>
      <c r="D273" s="473" t="s">
        <v>87</v>
      </c>
      <c r="E273" s="473" t="s">
        <v>36</v>
      </c>
      <c r="F273" s="474" t="s">
        <v>89</v>
      </c>
      <c r="G273" s="471" t="s">
        <v>54</v>
      </c>
      <c r="H273" s="267">
        <f>'прил9 (ведом 25-26)'!M221</f>
        <v>689</v>
      </c>
      <c r="I273" s="267">
        <f>'прил9 (ведом 25-26)'!N221</f>
        <v>692.6</v>
      </c>
    </row>
    <row r="274" spans="1:9" ht="18" x14ac:dyDescent="0.35">
      <c r="A274" s="459"/>
      <c r="B274" s="630" t="s">
        <v>55</v>
      </c>
      <c r="C274" s="452" t="s">
        <v>223</v>
      </c>
      <c r="D274" s="460" t="s">
        <v>87</v>
      </c>
      <c r="E274" s="460" t="s">
        <v>36</v>
      </c>
      <c r="F274" s="470" t="s">
        <v>89</v>
      </c>
      <c r="G274" s="471" t="s">
        <v>56</v>
      </c>
      <c r="H274" s="267">
        <f>'прил9 (ведом 25-26)'!M222</f>
        <v>21.3</v>
      </c>
      <c r="I274" s="267">
        <f>'прил9 (ведом 25-26)'!N222</f>
        <v>20.2</v>
      </c>
    </row>
    <row r="275" spans="1:9" ht="54" x14ac:dyDescent="0.35">
      <c r="A275" s="459"/>
      <c r="B275" s="639" t="s">
        <v>374</v>
      </c>
      <c r="C275" s="475" t="s">
        <v>223</v>
      </c>
      <c r="D275" s="446" t="s">
        <v>87</v>
      </c>
      <c r="E275" s="446" t="s">
        <v>36</v>
      </c>
      <c r="F275" s="469" t="s">
        <v>373</v>
      </c>
      <c r="G275" s="448"/>
      <c r="H275" s="267">
        <f>H276</f>
        <v>401.3</v>
      </c>
      <c r="I275" s="267">
        <f>I276</f>
        <v>401.3</v>
      </c>
    </row>
    <row r="276" spans="1:9" ht="36" x14ac:dyDescent="0.35">
      <c r="A276" s="459"/>
      <c r="B276" s="639" t="s">
        <v>53</v>
      </c>
      <c r="C276" s="475" t="s">
        <v>223</v>
      </c>
      <c r="D276" s="446" t="s">
        <v>87</v>
      </c>
      <c r="E276" s="446" t="s">
        <v>36</v>
      </c>
      <c r="F276" s="476" t="s">
        <v>373</v>
      </c>
      <c r="G276" s="448" t="s">
        <v>54</v>
      </c>
      <c r="H276" s="267">
        <f>'прил9 (ведом 25-26)'!M224</f>
        <v>401.3</v>
      </c>
      <c r="I276" s="267">
        <f>'прил9 (ведом 25-26)'!N224</f>
        <v>401.3</v>
      </c>
    </row>
    <row r="277" spans="1:9" ht="36" x14ac:dyDescent="0.35">
      <c r="A277" s="459"/>
      <c r="B277" s="650" t="s">
        <v>371</v>
      </c>
      <c r="C277" s="475" t="s">
        <v>223</v>
      </c>
      <c r="D277" s="477" t="s">
        <v>87</v>
      </c>
      <c r="E277" s="477" t="s">
        <v>38</v>
      </c>
      <c r="F277" s="478" t="s">
        <v>43</v>
      </c>
      <c r="G277" s="479"/>
      <c r="H277" s="267">
        <f>H278</f>
        <v>811.2</v>
      </c>
      <c r="I277" s="267">
        <f>I278</f>
        <v>811.2</v>
      </c>
    </row>
    <row r="278" spans="1:9" ht="54" x14ac:dyDescent="0.35">
      <c r="A278" s="459"/>
      <c r="B278" s="651" t="s">
        <v>372</v>
      </c>
      <c r="C278" s="480" t="s">
        <v>223</v>
      </c>
      <c r="D278" s="477" t="s">
        <v>87</v>
      </c>
      <c r="E278" s="477" t="s">
        <v>38</v>
      </c>
      <c r="F278" s="478" t="s">
        <v>103</v>
      </c>
      <c r="G278" s="481"/>
      <c r="H278" s="267">
        <f>H279</f>
        <v>811.2</v>
      </c>
      <c r="I278" s="267">
        <f>I279</f>
        <v>811.2</v>
      </c>
    </row>
    <row r="279" spans="1:9" ht="36" x14ac:dyDescent="0.35">
      <c r="A279" s="459"/>
      <c r="B279" s="652" t="s">
        <v>53</v>
      </c>
      <c r="C279" s="480" t="s">
        <v>223</v>
      </c>
      <c r="D279" s="482" t="s">
        <v>87</v>
      </c>
      <c r="E279" s="482" t="s">
        <v>38</v>
      </c>
      <c r="F279" s="483" t="s">
        <v>103</v>
      </c>
      <c r="G279" s="484" t="s">
        <v>54</v>
      </c>
      <c r="H279" s="267">
        <f>'прил9 (ведом 25-26)'!M227</f>
        <v>811.2</v>
      </c>
      <c r="I279" s="267">
        <f>'прил9 (ведом 25-26)'!N227</f>
        <v>811.2</v>
      </c>
    </row>
    <row r="280" spans="1:9" ht="18" x14ac:dyDescent="0.35">
      <c r="A280" s="459"/>
      <c r="B280" s="635" t="s">
        <v>395</v>
      </c>
      <c r="C280" s="480" t="s">
        <v>223</v>
      </c>
      <c r="D280" s="477" t="s">
        <v>87</v>
      </c>
      <c r="E280" s="477" t="s">
        <v>61</v>
      </c>
      <c r="F280" s="478" t="s">
        <v>43</v>
      </c>
      <c r="G280" s="481"/>
      <c r="H280" s="267">
        <f>H281</f>
        <v>10.6</v>
      </c>
      <c r="I280" s="267">
        <f>I281</f>
        <v>10.6</v>
      </c>
    </row>
    <row r="281" spans="1:9" ht="36" x14ac:dyDescent="0.35">
      <c r="A281" s="459"/>
      <c r="B281" s="635" t="s">
        <v>357</v>
      </c>
      <c r="C281" s="485" t="s">
        <v>223</v>
      </c>
      <c r="D281" s="482" t="s">
        <v>87</v>
      </c>
      <c r="E281" s="482" t="s">
        <v>61</v>
      </c>
      <c r="F281" s="483" t="s">
        <v>356</v>
      </c>
      <c r="G281" s="481"/>
      <c r="H281" s="267">
        <f>H282</f>
        <v>10.6</v>
      </c>
      <c r="I281" s="267">
        <f>I282</f>
        <v>10.6</v>
      </c>
    </row>
    <row r="282" spans="1:9" ht="18" x14ac:dyDescent="0.35">
      <c r="A282" s="459"/>
      <c r="B282" s="636" t="s">
        <v>55</v>
      </c>
      <c r="C282" s="475" t="s">
        <v>223</v>
      </c>
      <c r="D282" s="477" t="s">
        <v>87</v>
      </c>
      <c r="E282" s="477" t="s">
        <v>61</v>
      </c>
      <c r="F282" s="478" t="s">
        <v>356</v>
      </c>
      <c r="G282" s="481" t="s">
        <v>56</v>
      </c>
      <c r="H282" s="267">
        <f>'прил9 (ведом 25-26)'!M230</f>
        <v>10.6</v>
      </c>
      <c r="I282" s="267">
        <f>'прил9 (ведом 25-26)'!N230</f>
        <v>10.6</v>
      </c>
    </row>
    <row r="283" spans="1:9" ht="18" x14ac:dyDescent="0.35">
      <c r="A283" s="459"/>
      <c r="B283" s="630"/>
      <c r="C283" s="453"/>
      <c r="D283" s="460"/>
      <c r="E283" s="460"/>
      <c r="F283" s="470"/>
      <c r="G283" s="471"/>
      <c r="H283" s="267"/>
      <c r="I283" s="267"/>
    </row>
    <row r="284" spans="1:9" s="444" customFormat="1" ht="52.2" x14ac:dyDescent="0.3">
      <c r="A284" s="449">
        <v>8</v>
      </c>
      <c r="B284" s="628" t="s">
        <v>309</v>
      </c>
      <c r="C284" s="450" t="s">
        <v>77</v>
      </c>
      <c r="D284" s="450" t="s">
        <v>41</v>
      </c>
      <c r="E284" s="450" t="s">
        <v>42</v>
      </c>
      <c r="F284" s="451" t="s">
        <v>43</v>
      </c>
      <c r="G284" s="443"/>
      <c r="H284" s="310">
        <f>H285</f>
        <v>139674.69999999998</v>
      </c>
      <c r="I284" s="310">
        <f>I285</f>
        <v>138946.1</v>
      </c>
    </row>
    <row r="285" spans="1:9" ht="18" x14ac:dyDescent="0.35">
      <c r="A285" s="434"/>
      <c r="B285" s="606" t="s">
        <v>359</v>
      </c>
      <c r="C285" s="486" t="s">
        <v>77</v>
      </c>
      <c r="D285" s="460" t="s">
        <v>44</v>
      </c>
      <c r="E285" s="460" t="s">
        <v>42</v>
      </c>
      <c r="F285" s="487" t="s">
        <v>43</v>
      </c>
      <c r="G285" s="297"/>
      <c r="H285" s="267">
        <f>H286+H301+H307+H317</f>
        <v>139674.69999999998</v>
      </c>
      <c r="I285" s="267">
        <f>I286+I301+I307+I317</f>
        <v>138946.1</v>
      </c>
    </row>
    <row r="286" spans="1:9" ht="36" x14ac:dyDescent="0.35">
      <c r="A286" s="434"/>
      <c r="B286" s="606" t="s">
        <v>299</v>
      </c>
      <c r="C286" s="258" t="s">
        <v>77</v>
      </c>
      <c r="D286" s="259" t="s">
        <v>44</v>
      </c>
      <c r="E286" s="259" t="s">
        <v>36</v>
      </c>
      <c r="F286" s="260" t="s">
        <v>43</v>
      </c>
      <c r="G286" s="297"/>
      <c r="H286" s="267">
        <f>H287+H290+H295+H298+H293</f>
        <v>66996.499999999985</v>
      </c>
      <c r="I286" s="267">
        <f>I287+I290+I295+I298+I293</f>
        <v>68556.999999999985</v>
      </c>
    </row>
    <row r="287" spans="1:9" ht="126" x14ac:dyDescent="0.35">
      <c r="A287" s="434"/>
      <c r="B287" s="637" t="s">
        <v>377</v>
      </c>
      <c r="C287" s="258" t="s">
        <v>77</v>
      </c>
      <c r="D287" s="259" t="s">
        <v>44</v>
      </c>
      <c r="E287" s="259" t="s">
        <v>36</v>
      </c>
      <c r="F287" s="260" t="s">
        <v>548</v>
      </c>
      <c r="G287" s="73"/>
      <c r="H287" s="267">
        <f>SUM(H288:H289)</f>
        <v>38813.9</v>
      </c>
      <c r="I287" s="267">
        <f>SUM(I288:I289)</f>
        <v>40366.5</v>
      </c>
    </row>
    <row r="288" spans="1:9" ht="36" x14ac:dyDescent="0.35">
      <c r="A288" s="434"/>
      <c r="B288" s="638" t="s">
        <v>53</v>
      </c>
      <c r="C288" s="258" t="s">
        <v>77</v>
      </c>
      <c r="D288" s="259" t="s">
        <v>44</v>
      </c>
      <c r="E288" s="259" t="s">
        <v>36</v>
      </c>
      <c r="F288" s="260" t="s">
        <v>548</v>
      </c>
      <c r="G288" s="73" t="s">
        <v>54</v>
      </c>
      <c r="H288" s="267">
        <f>'прил9 (ведом 25-26)'!M540</f>
        <v>193.1</v>
      </c>
      <c r="I288" s="267">
        <f>'прил9 (ведом 25-26)'!N540</f>
        <v>200.8</v>
      </c>
    </row>
    <row r="289" spans="1:9" ht="18" x14ac:dyDescent="0.35">
      <c r="A289" s="434"/>
      <c r="B289" s="606" t="s">
        <v>118</v>
      </c>
      <c r="C289" s="258" t="s">
        <v>77</v>
      </c>
      <c r="D289" s="259" t="s">
        <v>44</v>
      </c>
      <c r="E289" s="259" t="s">
        <v>36</v>
      </c>
      <c r="F289" s="260" t="s">
        <v>548</v>
      </c>
      <c r="G289" s="73" t="s">
        <v>119</v>
      </c>
      <c r="H289" s="267">
        <f>'прил9 (ведом 25-26)'!M541</f>
        <v>38620.800000000003</v>
      </c>
      <c r="I289" s="267">
        <f>'прил9 (ведом 25-26)'!N541</f>
        <v>40165.699999999997</v>
      </c>
    </row>
    <row r="290" spans="1:9" ht="90" x14ac:dyDescent="0.35">
      <c r="A290" s="434"/>
      <c r="B290" s="606" t="s">
        <v>379</v>
      </c>
      <c r="C290" s="258" t="s">
        <v>77</v>
      </c>
      <c r="D290" s="259" t="s">
        <v>44</v>
      </c>
      <c r="E290" s="259" t="s">
        <v>36</v>
      </c>
      <c r="F290" s="260" t="s">
        <v>550</v>
      </c>
      <c r="G290" s="73"/>
      <c r="H290" s="267">
        <f>SUM(H291:H292)</f>
        <v>196.2</v>
      </c>
      <c r="I290" s="267">
        <f>SUM(I291:I292)</f>
        <v>204.1</v>
      </c>
    </row>
    <row r="291" spans="1:9" ht="36" x14ac:dyDescent="0.35">
      <c r="A291" s="434"/>
      <c r="B291" s="606" t="s">
        <v>53</v>
      </c>
      <c r="C291" s="258" t="s">
        <v>77</v>
      </c>
      <c r="D291" s="259" t="s">
        <v>44</v>
      </c>
      <c r="E291" s="259" t="s">
        <v>36</v>
      </c>
      <c r="F291" s="260" t="s">
        <v>550</v>
      </c>
      <c r="G291" s="73" t="s">
        <v>54</v>
      </c>
      <c r="H291" s="267">
        <f>'прил9 (ведом 25-26)'!M543</f>
        <v>1</v>
      </c>
      <c r="I291" s="267">
        <f>'прил9 (ведом 25-26)'!N543</f>
        <v>1</v>
      </c>
    </row>
    <row r="292" spans="1:9" ht="18" x14ac:dyDescent="0.35">
      <c r="A292" s="434"/>
      <c r="B292" s="606" t="s">
        <v>118</v>
      </c>
      <c r="C292" s="258" t="s">
        <v>77</v>
      </c>
      <c r="D292" s="259" t="s">
        <v>44</v>
      </c>
      <c r="E292" s="259" t="s">
        <v>36</v>
      </c>
      <c r="F292" s="260" t="s">
        <v>550</v>
      </c>
      <c r="G292" s="73" t="s">
        <v>119</v>
      </c>
      <c r="H292" s="267">
        <f>'прил9 (ведом 25-26)'!M544</f>
        <v>195.2</v>
      </c>
      <c r="I292" s="267">
        <f>'прил9 (ведом 25-26)'!N544</f>
        <v>203.1</v>
      </c>
    </row>
    <row r="293" spans="1:9" ht="126" x14ac:dyDescent="0.35">
      <c r="A293" s="434"/>
      <c r="B293" s="610" t="s">
        <v>736</v>
      </c>
      <c r="C293" s="799" t="s">
        <v>77</v>
      </c>
      <c r="D293" s="800" t="s">
        <v>44</v>
      </c>
      <c r="E293" s="800" t="s">
        <v>36</v>
      </c>
      <c r="F293" s="801" t="s">
        <v>735</v>
      </c>
      <c r="G293" s="55"/>
      <c r="H293" s="267">
        <f>H294</f>
        <v>142.9</v>
      </c>
      <c r="I293" s="267">
        <f>I294</f>
        <v>142.9</v>
      </c>
    </row>
    <row r="294" spans="1:9" ht="18" x14ac:dyDescent="0.35">
      <c r="A294" s="434"/>
      <c r="B294" s="610" t="s">
        <v>118</v>
      </c>
      <c r="C294" s="799" t="s">
        <v>77</v>
      </c>
      <c r="D294" s="800" t="s">
        <v>44</v>
      </c>
      <c r="E294" s="800" t="s">
        <v>36</v>
      </c>
      <c r="F294" s="801" t="s">
        <v>735</v>
      </c>
      <c r="G294" s="55" t="s">
        <v>119</v>
      </c>
      <c r="H294" s="267">
        <f>'прил9 (ведом 25-26)'!M546</f>
        <v>142.9</v>
      </c>
      <c r="I294" s="267">
        <f>'прил9 (ведом 25-26)'!N546</f>
        <v>142.9</v>
      </c>
    </row>
    <row r="295" spans="1:9" ht="90" x14ac:dyDescent="0.35">
      <c r="A295" s="434"/>
      <c r="B295" s="606" t="s">
        <v>378</v>
      </c>
      <c r="C295" s="258" t="s">
        <v>77</v>
      </c>
      <c r="D295" s="259" t="s">
        <v>44</v>
      </c>
      <c r="E295" s="259" t="s">
        <v>36</v>
      </c>
      <c r="F295" s="260" t="s">
        <v>549</v>
      </c>
      <c r="G295" s="73"/>
      <c r="H295" s="267">
        <f>SUM(H296:H297)</f>
        <v>27653.599999999999</v>
      </c>
      <c r="I295" s="267">
        <f>SUM(I296:I297)</f>
        <v>27653.599999999999</v>
      </c>
    </row>
    <row r="296" spans="1:9" ht="36" x14ac:dyDescent="0.35">
      <c r="A296" s="434"/>
      <c r="B296" s="638" t="s">
        <v>53</v>
      </c>
      <c r="C296" s="258" t="s">
        <v>77</v>
      </c>
      <c r="D296" s="259" t="s">
        <v>44</v>
      </c>
      <c r="E296" s="259" t="s">
        <v>36</v>
      </c>
      <c r="F296" s="260" t="s">
        <v>549</v>
      </c>
      <c r="G296" s="73" t="s">
        <v>54</v>
      </c>
      <c r="H296" s="267">
        <f>'прил9 (ведом 25-26)'!M548</f>
        <v>138.30000000000001</v>
      </c>
      <c r="I296" s="267">
        <f>'прил9 (ведом 25-26)'!N548</f>
        <v>138.30000000000001</v>
      </c>
    </row>
    <row r="297" spans="1:9" ht="18" x14ac:dyDescent="0.35">
      <c r="A297" s="434"/>
      <c r="B297" s="606" t="s">
        <v>118</v>
      </c>
      <c r="C297" s="258" t="s">
        <v>77</v>
      </c>
      <c r="D297" s="259" t="s">
        <v>44</v>
      </c>
      <c r="E297" s="259" t="s">
        <v>36</v>
      </c>
      <c r="F297" s="260" t="s">
        <v>549</v>
      </c>
      <c r="G297" s="73" t="s">
        <v>119</v>
      </c>
      <c r="H297" s="267">
        <f>'прил9 (ведом 25-26)'!M549</f>
        <v>27515.3</v>
      </c>
      <c r="I297" s="267">
        <f>'прил9 (ведом 25-26)'!N549</f>
        <v>27515.3</v>
      </c>
    </row>
    <row r="298" spans="1:9" ht="108" x14ac:dyDescent="0.35">
      <c r="A298" s="434"/>
      <c r="B298" s="606" t="s">
        <v>385</v>
      </c>
      <c r="C298" s="258" t="s">
        <v>77</v>
      </c>
      <c r="D298" s="259" t="s">
        <v>44</v>
      </c>
      <c r="E298" s="259" t="s">
        <v>36</v>
      </c>
      <c r="F298" s="260" t="s">
        <v>551</v>
      </c>
      <c r="G298" s="73"/>
      <c r="H298" s="267">
        <f>SUM(H299:H300)</f>
        <v>189.9</v>
      </c>
      <c r="I298" s="267">
        <f>SUM(I299:I300)</f>
        <v>189.9</v>
      </c>
    </row>
    <row r="299" spans="1:9" ht="36" x14ac:dyDescent="0.35">
      <c r="A299" s="434"/>
      <c r="B299" s="606" t="s">
        <v>53</v>
      </c>
      <c r="C299" s="258" t="s">
        <v>77</v>
      </c>
      <c r="D299" s="259" t="s">
        <v>44</v>
      </c>
      <c r="E299" s="259" t="s">
        <v>36</v>
      </c>
      <c r="F299" s="260" t="s">
        <v>551</v>
      </c>
      <c r="G299" s="73" t="s">
        <v>54</v>
      </c>
      <c r="H299" s="267">
        <f>'прил9 (ведом 25-26)'!M551</f>
        <v>0.9</v>
      </c>
      <c r="I299" s="267">
        <f>'прил9 (ведом 25-26)'!N551</f>
        <v>0.9</v>
      </c>
    </row>
    <row r="300" spans="1:9" ht="18" x14ac:dyDescent="0.35">
      <c r="A300" s="434"/>
      <c r="B300" s="606" t="s">
        <v>118</v>
      </c>
      <c r="C300" s="258" t="s">
        <v>77</v>
      </c>
      <c r="D300" s="259" t="s">
        <v>44</v>
      </c>
      <c r="E300" s="259" t="s">
        <v>36</v>
      </c>
      <c r="F300" s="260" t="s">
        <v>551</v>
      </c>
      <c r="G300" s="73" t="s">
        <v>119</v>
      </c>
      <c r="H300" s="267">
        <f>'прил9 (ведом 25-26)'!M552</f>
        <v>189</v>
      </c>
      <c r="I300" s="267">
        <f>'прил9 (ведом 25-26)'!N552</f>
        <v>189</v>
      </c>
    </row>
    <row r="301" spans="1:9" ht="72" x14ac:dyDescent="0.35">
      <c r="A301" s="434"/>
      <c r="B301" s="639" t="s">
        <v>314</v>
      </c>
      <c r="C301" s="488" t="s">
        <v>77</v>
      </c>
      <c r="D301" s="489" t="s">
        <v>44</v>
      </c>
      <c r="E301" s="489" t="s">
        <v>38</v>
      </c>
      <c r="F301" s="490" t="s">
        <v>43</v>
      </c>
      <c r="G301" s="491"/>
      <c r="H301" s="267">
        <f>H302+H305</f>
        <v>61926.700000000004</v>
      </c>
      <c r="I301" s="267">
        <f>I302+I305</f>
        <v>59111.9</v>
      </c>
    </row>
    <row r="302" spans="1:9" ht="90" x14ac:dyDescent="0.35">
      <c r="A302" s="434"/>
      <c r="B302" s="636" t="s">
        <v>756</v>
      </c>
      <c r="C302" s="445" t="s">
        <v>77</v>
      </c>
      <c r="D302" s="446" t="s">
        <v>44</v>
      </c>
      <c r="E302" s="446" t="s">
        <v>38</v>
      </c>
      <c r="F302" s="447" t="s">
        <v>665</v>
      </c>
      <c r="G302" s="448"/>
      <c r="H302" s="267">
        <f>H303+H304</f>
        <v>53490.3</v>
      </c>
      <c r="I302" s="267">
        <f>I303+I304</f>
        <v>50675.5</v>
      </c>
    </row>
    <row r="303" spans="1:9" ht="36" x14ac:dyDescent="0.35">
      <c r="A303" s="434"/>
      <c r="B303" s="639" t="s">
        <v>53</v>
      </c>
      <c r="C303" s="445" t="s">
        <v>77</v>
      </c>
      <c r="D303" s="446" t="s">
        <v>44</v>
      </c>
      <c r="E303" s="446" t="s">
        <v>38</v>
      </c>
      <c r="F303" s="447" t="s">
        <v>665</v>
      </c>
      <c r="G303" s="599" t="s">
        <v>54</v>
      </c>
      <c r="H303" s="267">
        <f>'прил9 (ведом 25-26)'!M234</f>
        <v>59.825299999999999</v>
      </c>
      <c r="I303" s="267">
        <f>'прил9 (ведом 25-26)'!N234</f>
        <v>57.105899999999998</v>
      </c>
    </row>
    <row r="304" spans="1:9" ht="36" x14ac:dyDescent="0.35">
      <c r="A304" s="434"/>
      <c r="B304" s="636" t="s">
        <v>201</v>
      </c>
      <c r="C304" s="445" t="s">
        <v>77</v>
      </c>
      <c r="D304" s="446" t="s">
        <v>44</v>
      </c>
      <c r="E304" s="446" t="s">
        <v>38</v>
      </c>
      <c r="F304" s="447" t="s">
        <v>665</v>
      </c>
      <c r="G304" s="448" t="s">
        <v>202</v>
      </c>
      <c r="H304" s="267">
        <f>'прил9 (ведом 25-26)'!M260</f>
        <v>53430.474700000006</v>
      </c>
      <c r="I304" s="267">
        <f>'прил9 (ведом 25-26)'!N260</f>
        <v>50618.394099999998</v>
      </c>
    </row>
    <row r="305" spans="1:9" ht="90" x14ac:dyDescent="0.35">
      <c r="A305" s="434"/>
      <c r="B305" s="653" t="s">
        <v>756</v>
      </c>
      <c r="C305" s="131" t="s">
        <v>77</v>
      </c>
      <c r="D305" s="132" t="s">
        <v>44</v>
      </c>
      <c r="E305" s="132" t="s">
        <v>38</v>
      </c>
      <c r="F305" s="153" t="s">
        <v>562</v>
      </c>
      <c r="G305" s="134"/>
      <c r="H305" s="267">
        <f>H306</f>
        <v>8436.4</v>
      </c>
      <c r="I305" s="267">
        <f>I306</f>
        <v>8436.4</v>
      </c>
    </row>
    <row r="306" spans="1:9" ht="36" x14ac:dyDescent="0.35">
      <c r="A306" s="434"/>
      <c r="B306" s="653" t="s">
        <v>201</v>
      </c>
      <c r="C306" s="131" t="s">
        <v>77</v>
      </c>
      <c r="D306" s="132" t="s">
        <v>44</v>
      </c>
      <c r="E306" s="132" t="s">
        <v>38</v>
      </c>
      <c r="F306" s="153" t="s">
        <v>562</v>
      </c>
      <c r="G306" s="134" t="s">
        <v>202</v>
      </c>
      <c r="H306" s="267">
        <f>'прил9 (ведом 25-26)'!M262</f>
        <v>8436.4</v>
      </c>
      <c r="I306" s="267">
        <f>'прил9 (ведом 25-26)'!N262</f>
        <v>8436.4</v>
      </c>
    </row>
    <row r="307" spans="1:9" ht="36" x14ac:dyDescent="0.35">
      <c r="A307" s="434"/>
      <c r="B307" s="606" t="s">
        <v>226</v>
      </c>
      <c r="C307" s="258" t="s">
        <v>77</v>
      </c>
      <c r="D307" s="259" t="s">
        <v>44</v>
      </c>
      <c r="E307" s="259" t="s">
        <v>61</v>
      </c>
      <c r="F307" s="260" t="s">
        <v>43</v>
      </c>
      <c r="G307" s="73"/>
      <c r="H307" s="267">
        <f>H308+H311+H314</f>
        <v>9251.5</v>
      </c>
      <c r="I307" s="267">
        <f>I308+I311+I314</f>
        <v>9777.2000000000007</v>
      </c>
    </row>
    <row r="308" spans="1:9" ht="234" x14ac:dyDescent="0.35">
      <c r="A308" s="434"/>
      <c r="B308" s="606" t="s">
        <v>229</v>
      </c>
      <c r="C308" s="258" t="s">
        <v>77</v>
      </c>
      <c r="D308" s="259" t="s">
        <v>44</v>
      </c>
      <c r="E308" s="259" t="s">
        <v>61</v>
      </c>
      <c r="F308" s="260" t="s">
        <v>552</v>
      </c>
      <c r="G308" s="73"/>
      <c r="H308" s="267">
        <f>SUM(H309:H310)</f>
        <v>1051.4000000000001</v>
      </c>
      <c r="I308" s="267">
        <f>SUM(I309:I310)</f>
        <v>1577.1</v>
      </c>
    </row>
    <row r="309" spans="1:9" ht="90" x14ac:dyDescent="0.35">
      <c r="A309" s="434"/>
      <c r="B309" s="606" t="s">
        <v>48</v>
      </c>
      <c r="C309" s="258" t="s">
        <v>77</v>
      </c>
      <c r="D309" s="259" t="s">
        <v>44</v>
      </c>
      <c r="E309" s="259" t="s">
        <v>61</v>
      </c>
      <c r="F309" s="260" t="s">
        <v>552</v>
      </c>
      <c r="G309" s="73" t="s">
        <v>49</v>
      </c>
      <c r="H309" s="267">
        <f>'прил9 (ведом 25-26)'!M558</f>
        <v>889.4</v>
      </c>
      <c r="I309" s="267">
        <f>'прил9 (ведом 25-26)'!N558</f>
        <v>1415.1</v>
      </c>
    </row>
    <row r="310" spans="1:9" ht="36" x14ac:dyDescent="0.35">
      <c r="A310" s="434"/>
      <c r="B310" s="606" t="s">
        <v>53</v>
      </c>
      <c r="C310" s="258" t="s">
        <v>77</v>
      </c>
      <c r="D310" s="259" t="s">
        <v>44</v>
      </c>
      <c r="E310" s="259" t="s">
        <v>61</v>
      </c>
      <c r="F310" s="260" t="s">
        <v>552</v>
      </c>
      <c r="G310" s="73" t="s">
        <v>54</v>
      </c>
      <c r="H310" s="267">
        <f>'прил9 (ведом 25-26)'!M559</f>
        <v>162</v>
      </c>
      <c r="I310" s="267">
        <f>'прил9 (ведом 25-26)'!N559</f>
        <v>162</v>
      </c>
    </row>
    <row r="311" spans="1:9" ht="90" x14ac:dyDescent="0.35">
      <c r="A311" s="434"/>
      <c r="B311" s="604" t="s">
        <v>479</v>
      </c>
      <c r="C311" s="258" t="s">
        <v>77</v>
      </c>
      <c r="D311" s="259" t="s">
        <v>44</v>
      </c>
      <c r="E311" s="259" t="s">
        <v>61</v>
      </c>
      <c r="F311" s="260" t="s">
        <v>546</v>
      </c>
      <c r="G311" s="73"/>
      <c r="H311" s="267">
        <f>SUM(H312:H313)</f>
        <v>776</v>
      </c>
      <c r="I311" s="267">
        <f>SUM(I312:I313)</f>
        <v>776</v>
      </c>
    </row>
    <row r="312" spans="1:9" ht="90" x14ac:dyDescent="0.35">
      <c r="A312" s="434"/>
      <c r="B312" s="606" t="s">
        <v>48</v>
      </c>
      <c r="C312" s="258" t="s">
        <v>77</v>
      </c>
      <c r="D312" s="259" t="s">
        <v>44</v>
      </c>
      <c r="E312" s="259" t="s">
        <v>61</v>
      </c>
      <c r="F312" s="260" t="s">
        <v>546</v>
      </c>
      <c r="G312" s="73" t="s">
        <v>49</v>
      </c>
      <c r="H312" s="267">
        <f>'прил9 (ведом 25-26)'!M561</f>
        <v>695</v>
      </c>
      <c r="I312" s="267">
        <f>'прил9 (ведом 25-26)'!N561</f>
        <v>695</v>
      </c>
    </row>
    <row r="313" spans="1:9" ht="36" x14ac:dyDescent="0.35">
      <c r="A313" s="434"/>
      <c r="B313" s="606" t="s">
        <v>53</v>
      </c>
      <c r="C313" s="258" t="s">
        <v>77</v>
      </c>
      <c r="D313" s="259" t="s">
        <v>44</v>
      </c>
      <c r="E313" s="259" t="s">
        <v>61</v>
      </c>
      <c r="F313" s="260" t="s">
        <v>546</v>
      </c>
      <c r="G313" s="73" t="s">
        <v>54</v>
      </c>
      <c r="H313" s="267">
        <f>'прил9 (ведом 25-26)'!M562</f>
        <v>81</v>
      </c>
      <c r="I313" s="267">
        <f>'прил9 (ведом 25-26)'!N562</f>
        <v>81</v>
      </c>
    </row>
    <row r="314" spans="1:9" ht="72" x14ac:dyDescent="0.35">
      <c r="A314" s="434"/>
      <c r="B314" s="606" t="s">
        <v>228</v>
      </c>
      <c r="C314" s="258" t="s">
        <v>77</v>
      </c>
      <c r="D314" s="259" t="s">
        <v>44</v>
      </c>
      <c r="E314" s="259" t="s">
        <v>61</v>
      </c>
      <c r="F314" s="260" t="s">
        <v>547</v>
      </c>
      <c r="G314" s="73"/>
      <c r="H314" s="267">
        <f>H315+H316</f>
        <v>7424.1</v>
      </c>
      <c r="I314" s="267">
        <f>I315+I316</f>
        <v>7424.1</v>
      </c>
    </row>
    <row r="315" spans="1:9" ht="90" x14ac:dyDescent="0.35">
      <c r="A315" s="434"/>
      <c r="B315" s="606" t="s">
        <v>48</v>
      </c>
      <c r="C315" s="258" t="s">
        <v>77</v>
      </c>
      <c r="D315" s="259" t="s">
        <v>44</v>
      </c>
      <c r="E315" s="259" t="s">
        <v>61</v>
      </c>
      <c r="F315" s="260" t="s">
        <v>547</v>
      </c>
      <c r="G315" s="73" t="s">
        <v>49</v>
      </c>
      <c r="H315" s="267">
        <f>'прил9 (ведом 25-26)'!M564</f>
        <v>6695.1</v>
      </c>
      <c r="I315" s="267">
        <f>'прил9 (ведом 25-26)'!N564</f>
        <v>6695.1</v>
      </c>
    </row>
    <row r="316" spans="1:9" ht="36" x14ac:dyDescent="0.35">
      <c r="A316" s="434"/>
      <c r="B316" s="606" t="s">
        <v>53</v>
      </c>
      <c r="C316" s="531" t="s">
        <v>77</v>
      </c>
      <c r="D316" s="532" t="s">
        <v>44</v>
      </c>
      <c r="E316" s="532" t="s">
        <v>61</v>
      </c>
      <c r="F316" s="260" t="s">
        <v>547</v>
      </c>
      <c r="G316" s="73" t="s">
        <v>54</v>
      </c>
      <c r="H316" s="267">
        <f>'прил9 (ведом 25-26)'!M565</f>
        <v>729</v>
      </c>
      <c r="I316" s="267">
        <f>'прил9 (ведом 25-26)'!N565</f>
        <v>729</v>
      </c>
    </row>
    <row r="317" spans="1:9" ht="72" x14ac:dyDescent="0.35">
      <c r="A317" s="434"/>
      <c r="B317" s="644" t="s">
        <v>468</v>
      </c>
      <c r="C317" s="258" t="s">
        <v>77</v>
      </c>
      <c r="D317" s="259" t="s">
        <v>44</v>
      </c>
      <c r="E317" s="259" t="s">
        <v>50</v>
      </c>
      <c r="F317" s="260" t="s">
        <v>43</v>
      </c>
      <c r="G317" s="73"/>
      <c r="H317" s="267">
        <f>H318</f>
        <v>1500</v>
      </c>
      <c r="I317" s="267">
        <f>I318</f>
        <v>1500</v>
      </c>
    </row>
    <row r="318" spans="1:9" ht="72" x14ac:dyDescent="0.35">
      <c r="A318" s="434"/>
      <c r="B318" s="644" t="s">
        <v>464</v>
      </c>
      <c r="C318" s="258" t="s">
        <v>77</v>
      </c>
      <c r="D318" s="259" t="s">
        <v>44</v>
      </c>
      <c r="E318" s="259" t="s">
        <v>50</v>
      </c>
      <c r="F318" s="260" t="s">
        <v>376</v>
      </c>
      <c r="G318" s="73"/>
      <c r="H318" s="267">
        <f>H319</f>
        <v>1500</v>
      </c>
      <c r="I318" s="267">
        <f>I319</f>
        <v>1500</v>
      </c>
    </row>
    <row r="319" spans="1:9" ht="18" x14ac:dyDescent="0.35">
      <c r="A319" s="434"/>
      <c r="B319" s="615" t="s">
        <v>118</v>
      </c>
      <c r="C319" s="258" t="s">
        <v>77</v>
      </c>
      <c r="D319" s="259" t="s">
        <v>44</v>
      </c>
      <c r="E319" s="259" t="s">
        <v>50</v>
      </c>
      <c r="F319" s="260" t="s">
        <v>376</v>
      </c>
      <c r="G319" s="73" t="s">
        <v>119</v>
      </c>
      <c r="H319" s="267">
        <f>'прил9 (ведом 25-26)'!M153</f>
        <v>1500</v>
      </c>
      <c r="I319" s="267">
        <f>'прил9 (ведом 25-26)'!N153</f>
        <v>1500</v>
      </c>
    </row>
    <row r="320" spans="1:9" ht="18" x14ac:dyDescent="0.35">
      <c r="A320" s="434"/>
      <c r="B320" s="615"/>
      <c r="C320" s="259"/>
      <c r="D320" s="259"/>
      <c r="E320" s="259"/>
      <c r="F320" s="260"/>
      <c r="G320" s="73"/>
      <c r="H320" s="267"/>
      <c r="I320" s="267"/>
    </row>
    <row r="321" spans="1:9" ht="69.599999999999994" x14ac:dyDescent="0.35">
      <c r="A321" s="449">
        <v>9</v>
      </c>
      <c r="B321" s="618" t="s">
        <v>352</v>
      </c>
      <c r="C321" s="450" t="s">
        <v>102</v>
      </c>
      <c r="D321" s="450" t="s">
        <v>41</v>
      </c>
      <c r="E321" s="450" t="s">
        <v>42</v>
      </c>
      <c r="F321" s="451" t="s">
        <v>43</v>
      </c>
      <c r="G321" s="73"/>
      <c r="H321" s="310">
        <f t="shared" ref="H321:I324" si="2">H322</f>
        <v>108</v>
      </c>
      <c r="I321" s="310">
        <f t="shared" si="2"/>
        <v>108</v>
      </c>
    </row>
    <row r="322" spans="1:9" ht="36" x14ac:dyDescent="0.35">
      <c r="A322" s="434"/>
      <c r="B322" s="784" t="s">
        <v>752</v>
      </c>
      <c r="C322" s="799" t="s">
        <v>102</v>
      </c>
      <c r="D322" s="800" t="s">
        <v>694</v>
      </c>
      <c r="E322" s="800" t="s">
        <v>42</v>
      </c>
      <c r="F322" s="801" t="s">
        <v>43</v>
      </c>
      <c r="G322" s="525"/>
      <c r="H322" s="267">
        <f t="shared" si="2"/>
        <v>108</v>
      </c>
      <c r="I322" s="267">
        <f t="shared" si="2"/>
        <v>108</v>
      </c>
    </row>
    <row r="323" spans="1:9" ht="36" x14ac:dyDescent="0.35">
      <c r="A323" s="434"/>
      <c r="B323" s="696" t="s">
        <v>753</v>
      </c>
      <c r="C323" s="799" t="s">
        <v>102</v>
      </c>
      <c r="D323" s="800" t="s">
        <v>694</v>
      </c>
      <c r="E323" s="800" t="s">
        <v>36</v>
      </c>
      <c r="F323" s="801" t="s">
        <v>43</v>
      </c>
      <c r="G323" s="55"/>
      <c r="H323" s="267">
        <f t="shared" si="2"/>
        <v>108</v>
      </c>
      <c r="I323" s="267">
        <f t="shared" si="2"/>
        <v>108</v>
      </c>
    </row>
    <row r="324" spans="1:9" ht="54" x14ac:dyDescent="0.35">
      <c r="A324" s="434"/>
      <c r="B324" s="696" t="s">
        <v>754</v>
      </c>
      <c r="C324" s="799" t="s">
        <v>102</v>
      </c>
      <c r="D324" s="800" t="s">
        <v>694</v>
      </c>
      <c r="E324" s="800" t="s">
        <v>36</v>
      </c>
      <c r="F324" s="801" t="s">
        <v>755</v>
      </c>
      <c r="G324" s="55"/>
      <c r="H324" s="267">
        <f t="shared" si="2"/>
        <v>108</v>
      </c>
      <c r="I324" s="267">
        <f t="shared" si="2"/>
        <v>108</v>
      </c>
    </row>
    <row r="325" spans="1:9" ht="36" x14ac:dyDescent="0.35">
      <c r="A325" s="434"/>
      <c r="B325" s="696" t="s">
        <v>53</v>
      </c>
      <c r="C325" s="799" t="s">
        <v>102</v>
      </c>
      <c r="D325" s="800" t="s">
        <v>694</v>
      </c>
      <c r="E325" s="800" t="s">
        <v>36</v>
      </c>
      <c r="F325" s="801" t="s">
        <v>755</v>
      </c>
      <c r="G325" s="55" t="s">
        <v>54</v>
      </c>
      <c r="H325" s="267">
        <f>'прил9 (ведом 25-26)'!M56</f>
        <v>108</v>
      </c>
      <c r="I325" s="267">
        <f>'прил9 (ведом 25-26)'!N56</f>
        <v>108</v>
      </c>
    </row>
    <row r="326" spans="1:9" ht="18" x14ac:dyDescent="0.35">
      <c r="A326" s="434"/>
      <c r="B326" s="615"/>
      <c r="C326" s="259"/>
      <c r="D326" s="259"/>
      <c r="E326" s="259"/>
      <c r="F326" s="260"/>
      <c r="G326" s="73"/>
      <c r="H326" s="267"/>
      <c r="I326" s="267"/>
    </row>
    <row r="327" spans="1:9" s="444" customFormat="1" ht="52.2" x14ac:dyDescent="0.3">
      <c r="A327" s="449">
        <v>10</v>
      </c>
      <c r="B327" s="618" t="s">
        <v>92</v>
      </c>
      <c r="C327" s="450" t="s">
        <v>65</v>
      </c>
      <c r="D327" s="450" t="s">
        <v>41</v>
      </c>
      <c r="E327" s="450" t="s">
        <v>42</v>
      </c>
      <c r="F327" s="451" t="s">
        <v>43</v>
      </c>
      <c r="G327" s="492"/>
      <c r="H327" s="310">
        <f>H328</f>
        <v>24038.799999999999</v>
      </c>
      <c r="I327" s="310">
        <f>I328</f>
        <v>24170.7</v>
      </c>
    </row>
    <row r="328" spans="1:9" ht="18" x14ac:dyDescent="0.35">
      <c r="A328" s="434"/>
      <c r="B328" s="606" t="s">
        <v>359</v>
      </c>
      <c r="C328" s="258" t="s">
        <v>65</v>
      </c>
      <c r="D328" s="259" t="s">
        <v>44</v>
      </c>
      <c r="E328" s="259" t="s">
        <v>42</v>
      </c>
      <c r="F328" s="260" t="s">
        <v>43</v>
      </c>
      <c r="G328" s="455"/>
      <c r="H328" s="267">
        <f>H329+H332</f>
        <v>24038.799999999999</v>
      </c>
      <c r="I328" s="267">
        <f>I329+I332</f>
        <v>24170.7</v>
      </c>
    </row>
    <row r="329" spans="1:9" ht="36" x14ac:dyDescent="0.35">
      <c r="A329" s="434"/>
      <c r="B329" s="606" t="s">
        <v>93</v>
      </c>
      <c r="C329" s="258" t="s">
        <v>65</v>
      </c>
      <c r="D329" s="259" t="s">
        <v>44</v>
      </c>
      <c r="E329" s="259" t="s">
        <v>36</v>
      </c>
      <c r="F329" s="260" t="s">
        <v>43</v>
      </c>
      <c r="G329" s="455"/>
      <c r="H329" s="267">
        <f>H330</f>
        <v>20740</v>
      </c>
      <c r="I329" s="267">
        <f>I330</f>
        <v>20740</v>
      </c>
    </row>
    <row r="330" spans="1:9" ht="54" x14ac:dyDescent="0.35">
      <c r="A330" s="434"/>
      <c r="B330" s="641" t="s">
        <v>430</v>
      </c>
      <c r="C330" s="258" t="s">
        <v>65</v>
      </c>
      <c r="D330" s="259" t="s">
        <v>44</v>
      </c>
      <c r="E330" s="259" t="s">
        <v>36</v>
      </c>
      <c r="F330" s="260" t="s">
        <v>59</v>
      </c>
      <c r="G330" s="73"/>
      <c r="H330" s="267">
        <f>H331</f>
        <v>20740</v>
      </c>
      <c r="I330" s="267">
        <f>I331</f>
        <v>20740</v>
      </c>
    </row>
    <row r="331" spans="1:9" ht="18" x14ac:dyDescent="0.35">
      <c r="A331" s="434"/>
      <c r="B331" s="606" t="s">
        <v>55</v>
      </c>
      <c r="C331" s="258" t="s">
        <v>65</v>
      </c>
      <c r="D331" s="259" t="s">
        <v>44</v>
      </c>
      <c r="E331" s="259" t="s">
        <v>36</v>
      </c>
      <c r="F331" s="260" t="s">
        <v>59</v>
      </c>
      <c r="G331" s="73" t="s">
        <v>56</v>
      </c>
      <c r="H331" s="267">
        <f>'прил9 (ведом 25-26)'!M115</f>
        <v>20740</v>
      </c>
      <c r="I331" s="267">
        <f>'прил9 (ведом 25-26)'!N115</f>
        <v>20740</v>
      </c>
    </row>
    <row r="332" spans="1:9" ht="54" x14ac:dyDescent="0.35">
      <c r="A332" s="434"/>
      <c r="B332" s="606" t="s">
        <v>94</v>
      </c>
      <c r="C332" s="258" t="s">
        <v>65</v>
      </c>
      <c r="D332" s="259" t="s">
        <v>44</v>
      </c>
      <c r="E332" s="259" t="s">
        <v>38</v>
      </c>
      <c r="F332" s="260" t="s">
        <v>43</v>
      </c>
      <c r="G332" s="73"/>
      <c r="H332" s="267">
        <f>H333</f>
        <v>3298.8</v>
      </c>
      <c r="I332" s="267">
        <f>I333</f>
        <v>3430.7</v>
      </c>
    </row>
    <row r="333" spans="1:9" ht="162" x14ac:dyDescent="0.35">
      <c r="A333" s="434"/>
      <c r="B333" s="607" t="s">
        <v>540</v>
      </c>
      <c r="C333" s="258" t="s">
        <v>65</v>
      </c>
      <c r="D333" s="259" t="s">
        <v>44</v>
      </c>
      <c r="E333" s="259" t="s">
        <v>38</v>
      </c>
      <c r="F333" s="260" t="s">
        <v>95</v>
      </c>
      <c r="G333" s="73"/>
      <c r="H333" s="267">
        <f>H334</f>
        <v>3298.8</v>
      </c>
      <c r="I333" s="267">
        <f>I334</f>
        <v>3430.7</v>
      </c>
    </row>
    <row r="334" spans="1:9" ht="36" x14ac:dyDescent="0.35">
      <c r="A334" s="434"/>
      <c r="B334" s="606" t="s">
        <v>53</v>
      </c>
      <c r="C334" s="258" t="s">
        <v>65</v>
      </c>
      <c r="D334" s="259" t="s">
        <v>44</v>
      </c>
      <c r="E334" s="259" t="s">
        <v>38</v>
      </c>
      <c r="F334" s="260" t="s">
        <v>95</v>
      </c>
      <c r="G334" s="73" t="s">
        <v>54</v>
      </c>
      <c r="H334" s="267">
        <f>'прил9 (ведом 25-26)'!M118</f>
        <v>3298.8</v>
      </c>
      <c r="I334" s="267">
        <f>'прил9 (ведом 25-26)'!N118</f>
        <v>3430.7</v>
      </c>
    </row>
    <row r="335" spans="1:9" ht="18" x14ac:dyDescent="0.35">
      <c r="A335" s="434"/>
      <c r="B335" s="613"/>
      <c r="C335" s="793"/>
      <c r="D335" s="793"/>
      <c r="E335" s="793"/>
      <c r="F335" s="794"/>
      <c r="G335" s="297"/>
      <c r="H335" s="267"/>
      <c r="I335" s="267"/>
    </row>
    <row r="336" spans="1:9" s="444" customFormat="1" ht="52.2" x14ac:dyDescent="0.3">
      <c r="A336" s="449">
        <v>11</v>
      </c>
      <c r="B336" s="618" t="s">
        <v>97</v>
      </c>
      <c r="C336" s="450" t="s">
        <v>98</v>
      </c>
      <c r="D336" s="450" t="s">
        <v>41</v>
      </c>
      <c r="E336" s="450" t="s">
        <v>42</v>
      </c>
      <c r="F336" s="451" t="s">
        <v>43</v>
      </c>
      <c r="G336" s="443"/>
      <c r="H336" s="310">
        <f t="shared" ref="H336:I339" si="3">H337</f>
        <v>7183.4</v>
      </c>
      <c r="I336" s="310">
        <f t="shared" si="3"/>
        <v>7472.6</v>
      </c>
    </row>
    <row r="337" spans="1:9" s="444" customFormat="1" ht="18" x14ac:dyDescent="0.35">
      <c r="A337" s="434"/>
      <c r="B337" s="606" t="s">
        <v>359</v>
      </c>
      <c r="C337" s="258" t="s">
        <v>98</v>
      </c>
      <c r="D337" s="259" t="s">
        <v>44</v>
      </c>
      <c r="E337" s="259" t="s">
        <v>42</v>
      </c>
      <c r="F337" s="260" t="s">
        <v>43</v>
      </c>
      <c r="G337" s="73"/>
      <c r="H337" s="267">
        <f t="shared" si="3"/>
        <v>7183.4</v>
      </c>
      <c r="I337" s="267">
        <f t="shared" si="3"/>
        <v>7472.6</v>
      </c>
    </row>
    <row r="338" spans="1:9" s="444" customFormat="1" ht="72" x14ac:dyDescent="0.35">
      <c r="A338" s="434"/>
      <c r="B338" s="606" t="s">
        <v>99</v>
      </c>
      <c r="C338" s="258" t="s">
        <v>98</v>
      </c>
      <c r="D338" s="259" t="s">
        <v>44</v>
      </c>
      <c r="E338" s="259" t="s">
        <v>36</v>
      </c>
      <c r="F338" s="260" t="s">
        <v>43</v>
      </c>
      <c r="G338" s="73"/>
      <c r="H338" s="267">
        <f t="shared" si="3"/>
        <v>7183.4</v>
      </c>
      <c r="I338" s="267">
        <f t="shared" si="3"/>
        <v>7472.6</v>
      </c>
    </row>
    <row r="339" spans="1:9" s="444" customFormat="1" ht="72" x14ac:dyDescent="0.35">
      <c r="A339" s="434"/>
      <c r="B339" s="614" t="s">
        <v>100</v>
      </c>
      <c r="C339" s="258" t="s">
        <v>98</v>
      </c>
      <c r="D339" s="259" t="s">
        <v>44</v>
      </c>
      <c r="E339" s="259" t="s">
        <v>36</v>
      </c>
      <c r="F339" s="260" t="s">
        <v>101</v>
      </c>
      <c r="G339" s="73"/>
      <c r="H339" s="267">
        <f t="shared" si="3"/>
        <v>7183.4</v>
      </c>
      <c r="I339" s="267">
        <f t="shared" si="3"/>
        <v>7472.6</v>
      </c>
    </row>
    <row r="340" spans="1:9" ht="36" x14ac:dyDescent="0.35">
      <c r="A340" s="434"/>
      <c r="B340" s="606" t="s">
        <v>53</v>
      </c>
      <c r="C340" s="258" t="s">
        <v>98</v>
      </c>
      <c r="D340" s="259" t="s">
        <v>44</v>
      </c>
      <c r="E340" s="259" t="s">
        <v>36</v>
      </c>
      <c r="F340" s="260" t="s">
        <v>101</v>
      </c>
      <c r="G340" s="73" t="s">
        <v>54</v>
      </c>
      <c r="H340" s="267">
        <f>'прил9 (ведом 25-26)'!M124</f>
        <v>7183.4</v>
      </c>
      <c r="I340" s="267">
        <f>'прил9 (ведом 25-26)'!N124</f>
        <v>7472.6</v>
      </c>
    </row>
    <row r="341" spans="1:9" ht="18" x14ac:dyDescent="0.35">
      <c r="A341" s="434"/>
      <c r="B341" s="606"/>
      <c r="C341" s="259"/>
      <c r="D341" s="259"/>
      <c r="E341" s="259"/>
      <c r="F341" s="260"/>
      <c r="G341" s="73"/>
      <c r="H341" s="267"/>
      <c r="I341" s="267"/>
    </row>
    <row r="342" spans="1:9" ht="52.2" x14ac:dyDescent="0.3">
      <c r="A342" s="449">
        <v>12</v>
      </c>
      <c r="B342" s="654" t="s">
        <v>105</v>
      </c>
      <c r="C342" s="493" t="s">
        <v>69</v>
      </c>
      <c r="D342" s="494" t="s">
        <v>41</v>
      </c>
      <c r="E342" s="494" t="s">
        <v>42</v>
      </c>
      <c r="F342" s="495" t="s">
        <v>43</v>
      </c>
      <c r="G342" s="200"/>
      <c r="H342" s="310">
        <f>H347+H343</f>
        <v>1076.0999999999999</v>
      </c>
      <c r="I342" s="310">
        <f>I347+I343</f>
        <v>1076.0999999999999</v>
      </c>
    </row>
    <row r="343" spans="1:9" ht="36" x14ac:dyDescent="0.35">
      <c r="A343" s="449"/>
      <c r="B343" s="623" t="s">
        <v>106</v>
      </c>
      <c r="C343" s="258" t="s">
        <v>69</v>
      </c>
      <c r="D343" s="259" t="s">
        <v>44</v>
      </c>
      <c r="E343" s="259" t="s">
        <v>42</v>
      </c>
      <c r="F343" s="260" t="s">
        <v>43</v>
      </c>
      <c r="G343" s="73"/>
      <c r="H343" s="267">
        <f t="shared" ref="H343:I345" si="4">H344</f>
        <v>350</v>
      </c>
      <c r="I343" s="267">
        <f t="shared" si="4"/>
        <v>350</v>
      </c>
    </row>
    <row r="344" spans="1:9" ht="36" x14ac:dyDescent="0.35">
      <c r="A344" s="449"/>
      <c r="B344" s="607" t="s">
        <v>107</v>
      </c>
      <c r="C344" s="258" t="s">
        <v>69</v>
      </c>
      <c r="D344" s="259" t="s">
        <v>44</v>
      </c>
      <c r="E344" s="259" t="s">
        <v>36</v>
      </c>
      <c r="F344" s="260" t="s">
        <v>43</v>
      </c>
      <c r="G344" s="73"/>
      <c r="H344" s="267">
        <f t="shared" si="4"/>
        <v>350</v>
      </c>
      <c r="I344" s="267">
        <f t="shared" si="4"/>
        <v>350</v>
      </c>
    </row>
    <row r="345" spans="1:9" ht="36" x14ac:dyDescent="0.35">
      <c r="A345" s="449"/>
      <c r="B345" s="623" t="s">
        <v>108</v>
      </c>
      <c r="C345" s="258" t="s">
        <v>69</v>
      </c>
      <c r="D345" s="259" t="s">
        <v>44</v>
      </c>
      <c r="E345" s="259" t="s">
        <v>36</v>
      </c>
      <c r="F345" s="260" t="s">
        <v>109</v>
      </c>
      <c r="G345" s="73"/>
      <c r="H345" s="267">
        <f t="shared" si="4"/>
        <v>350</v>
      </c>
      <c r="I345" s="267">
        <f t="shared" si="4"/>
        <v>350</v>
      </c>
    </row>
    <row r="346" spans="1:9" ht="36" x14ac:dyDescent="0.35">
      <c r="A346" s="449"/>
      <c r="B346" s="607" t="s">
        <v>53</v>
      </c>
      <c r="C346" s="258" t="s">
        <v>69</v>
      </c>
      <c r="D346" s="259" t="s">
        <v>44</v>
      </c>
      <c r="E346" s="259" t="s">
        <v>36</v>
      </c>
      <c r="F346" s="260" t="s">
        <v>109</v>
      </c>
      <c r="G346" s="73" t="s">
        <v>54</v>
      </c>
      <c r="H346" s="267">
        <f>'прил9 (ведом 25-26)'!M130</f>
        <v>350</v>
      </c>
      <c r="I346" s="267">
        <f>'прил9 (ведом 25-26)'!N130</f>
        <v>350</v>
      </c>
    </row>
    <row r="347" spans="1:9" ht="36" x14ac:dyDescent="0.35">
      <c r="A347" s="434"/>
      <c r="B347" s="623" t="s">
        <v>110</v>
      </c>
      <c r="C347" s="258" t="s">
        <v>69</v>
      </c>
      <c r="D347" s="259" t="s">
        <v>87</v>
      </c>
      <c r="E347" s="259" t="s">
        <v>42</v>
      </c>
      <c r="F347" s="260" t="s">
        <v>43</v>
      </c>
      <c r="G347" s="73"/>
      <c r="H347" s="267">
        <f t="shared" ref="H347:I349" si="5">H348</f>
        <v>726.1</v>
      </c>
      <c r="I347" s="267">
        <f t="shared" si="5"/>
        <v>726.1</v>
      </c>
    </row>
    <row r="348" spans="1:9" ht="36" x14ac:dyDescent="0.35">
      <c r="A348" s="434"/>
      <c r="B348" s="623" t="s">
        <v>111</v>
      </c>
      <c r="C348" s="258" t="s">
        <v>69</v>
      </c>
      <c r="D348" s="259" t="s">
        <v>87</v>
      </c>
      <c r="E348" s="259" t="s">
        <v>36</v>
      </c>
      <c r="F348" s="260" t="s">
        <v>43</v>
      </c>
      <c r="G348" s="73"/>
      <c r="H348" s="267">
        <f t="shared" si="5"/>
        <v>726.1</v>
      </c>
      <c r="I348" s="267">
        <f t="shared" si="5"/>
        <v>726.1</v>
      </c>
    </row>
    <row r="349" spans="1:9" ht="72" x14ac:dyDescent="0.35">
      <c r="A349" s="434"/>
      <c r="B349" s="623" t="s">
        <v>112</v>
      </c>
      <c r="C349" s="258" t="s">
        <v>69</v>
      </c>
      <c r="D349" s="259" t="s">
        <v>87</v>
      </c>
      <c r="E349" s="259" t="s">
        <v>36</v>
      </c>
      <c r="F349" s="260" t="s">
        <v>113</v>
      </c>
      <c r="G349" s="73"/>
      <c r="H349" s="267">
        <f t="shared" si="5"/>
        <v>726.1</v>
      </c>
      <c r="I349" s="267">
        <f t="shared" si="5"/>
        <v>726.1</v>
      </c>
    </row>
    <row r="350" spans="1:9" ht="36" x14ac:dyDescent="0.35">
      <c r="A350" s="434"/>
      <c r="B350" s="607" t="s">
        <v>53</v>
      </c>
      <c r="C350" s="258" t="s">
        <v>69</v>
      </c>
      <c r="D350" s="259" t="s">
        <v>87</v>
      </c>
      <c r="E350" s="259" t="s">
        <v>36</v>
      </c>
      <c r="F350" s="260" t="s">
        <v>113</v>
      </c>
      <c r="G350" s="73" t="s">
        <v>54</v>
      </c>
      <c r="H350" s="267">
        <f>'прил9 (ведом 25-26)'!M134</f>
        <v>726.1</v>
      </c>
      <c r="I350" s="267">
        <f>'прил9 (ведом 25-26)'!N134</f>
        <v>726.1</v>
      </c>
    </row>
    <row r="351" spans="1:9" ht="18" x14ac:dyDescent="0.35">
      <c r="A351" s="434"/>
      <c r="B351" s="607"/>
      <c r="C351" s="259"/>
      <c r="D351" s="259"/>
      <c r="E351" s="259"/>
      <c r="F351" s="260"/>
      <c r="G351" s="73"/>
      <c r="H351" s="267"/>
      <c r="I351" s="267"/>
    </row>
    <row r="352" spans="1:9" ht="52.2" x14ac:dyDescent="0.3">
      <c r="A352" s="449">
        <v>13</v>
      </c>
      <c r="B352" s="654" t="s">
        <v>114</v>
      </c>
      <c r="C352" s="493" t="s">
        <v>86</v>
      </c>
      <c r="D352" s="494" t="s">
        <v>41</v>
      </c>
      <c r="E352" s="494" t="s">
        <v>42</v>
      </c>
      <c r="F352" s="495" t="s">
        <v>43</v>
      </c>
      <c r="G352" s="200"/>
      <c r="H352" s="310">
        <f t="shared" ref="H352:I353" si="6">H353</f>
        <v>50</v>
      </c>
      <c r="I352" s="310">
        <f t="shared" si="6"/>
        <v>50</v>
      </c>
    </row>
    <row r="353" spans="1:9" ht="18" x14ac:dyDescent="0.35">
      <c r="A353" s="434"/>
      <c r="B353" s="607" t="s">
        <v>359</v>
      </c>
      <c r="C353" s="258" t="s">
        <v>86</v>
      </c>
      <c r="D353" s="259" t="s">
        <v>44</v>
      </c>
      <c r="E353" s="259" t="s">
        <v>42</v>
      </c>
      <c r="F353" s="260" t="s">
        <v>43</v>
      </c>
      <c r="G353" s="73"/>
      <c r="H353" s="267">
        <f t="shared" si="6"/>
        <v>50</v>
      </c>
      <c r="I353" s="267">
        <f t="shared" si="6"/>
        <v>50</v>
      </c>
    </row>
    <row r="354" spans="1:9" ht="54" x14ac:dyDescent="0.35">
      <c r="A354" s="434"/>
      <c r="B354" s="623" t="s">
        <v>321</v>
      </c>
      <c r="C354" s="258" t="s">
        <v>86</v>
      </c>
      <c r="D354" s="259" t="s">
        <v>44</v>
      </c>
      <c r="E354" s="259" t="s">
        <v>36</v>
      </c>
      <c r="F354" s="260" t="s">
        <v>43</v>
      </c>
      <c r="G354" s="73"/>
      <c r="H354" s="267">
        <f>H355</f>
        <v>50</v>
      </c>
      <c r="I354" s="267">
        <f>I355</f>
        <v>50</v>
      </c>
    </row>
    <row r="355" spans="1:9" ht="54" x14ac:dyDescent="0.35">
      <c r="A355" s="434"/>
      <c r="B355" s="623" t="s">
        <v>115</v>
      </c>
      <c r="C355" s="258" t="s">
        <v>86</v>
      </c>
      <c r="D355" s="259" t="s">
        <v>44</v>
      </c>
      <c r="E355" s="259" t="s">
        <v>36</v>
      </c>
      <c r="F355" s="260" t="s">
        <v>116</v>
      </c>
      <c r="G355" s="73"/>
      <c r="H355" s="267">
        <f>H356</f>
        <v>50</v>
      </c>
      <c r="I355" s="267">
        <f>I356</f>
        <v>50</v>
      </c>
    </row>
    <row r="356" spans="1:9" ht="36" x14ac:dyDescent="0.35">
      <c r="A356" s="434"/>
      <c r="B356" s="607" t="s">
        <v>53</v>
      </c>
      <c r="C356" s="258" t="s">
        <v>86</v>
      </c>
      <c r="D356" s="259" t="s">
        <v>44</v>
      </c>
      <c r="E356" s="259" t="s">
        <v>36</v>
      </c>
      <c r="F356" s="260" t="s">
        <v>116</v>
      </c>
      <c r="G356" s="73" t="s">
        <v>54</v>
      </c>
      <c r="H356" s="267">
        <f>'прил9 (ведом 25-26)'!M139</f>
        <v>50</v>
      </c>
      <c r="I356" s="267">
        <f>'прил9 (ведом 25-26)'!N139</f>
        <v>50</v>
      </c>
    </row>
    <row r="357" spans="1:9" ht="18" x14ac:dyDescent="0.35">
      <c r="A357" s="434"/>
      <c r="B357" s="607"/>
      <c r="C357" s="259"/>
      <c r="D357" s="259"/>
      <c r="E357" s="259"/>
      <c r="F357" s="260"/>
      <c r="G357" s="73"/>
      <c r="H357" s="267"/>
      <c r="I357" s="267"/>
    </row>
    <row r="358" spans="1:9" ht="69.599999999999994" x14ac:dyDescent="0.3">
      <c r="A358" s="449">
        <v>14</v>
      </c>
      <c r="B358" s="618" t="s">
        <v>70</v>
      </c>
      <c r="C358" s="450" t="s">
        <v>71</v>
      </c>
      <c r="D358" s="450" t="s">
        <v>41</v>
      </c>
      <c r="E358" s="450" t="s">
        <v>42</v>
      </c>
      <c r="F358" s="451" t="s">
        <v>43</v>
      </c>
      <c r="G358" s="443"/>
      <c r="H358" s="310">
        <f t="shared" ref="H358:I361" si="7">H359</f>
        <v>1690.3000000000002</v>
      </c>
      <c r="I358" s="310">
        <f t="shared" si="7"/>
        <v>1690.3000000000002</v>
      </c>
    </row>
    <row r="359" spans="1:9" ht="18" x14ac:dyDescent="0.35">
      <c r="A359" s="434"/>
      <c r="B359" s="606" t="s">
        <v>359</v>
      </c>
      <c r="C359" s="258" t="s">
        <v>71</v>
      </c>
      <c r="D359" s="259" t="s">
        <v>44</v>
      </c>
      <c r="E359" s="259" t="s">
        <v>42</v>
      </c>
      <c r="F359" s="260" t="s">
        <v>43</v>
      </c>
      <c r="G359" s="73"/>
      <c r="H359" s="267">
        <f t="shared" si="7"/>
        <v>1690.3000000000002</v>
      </c>
      <c r="I359" s="267">
        <f t="shared" si="7"/>
        <v>1690.3000000000002</v>
      </c>
    </row>
    <row r="360" spans="1:9" ht="36" x14ac:dyDescent="0.35">
      <c r="A360" s="434"/>
      <c r="B360" s="622" t="s">
        <v>280</v>
      </c>
      <c r="C360" s="258" t="s">
        <v>71</v>
      </c>
      <c r="D360" s="259" t="s">
        <v>44</v>
      </c>
      <c r="E360" s="259" t="s">
        <v>36</v>
      </c>
      <c r="F360" s="260" t="s">
        <v>43</v>
      </c>
      <c r="G360" s="73"/>
      <c r="H360" s="267">
        <f t="shared" si="7"/>
        <v>1690.3000000000002</v>
      </c>
      <c r="I360" s="267">
        <f t="shared" si="7"/>
        <v>1690.3000000000002</v>
      </c>
    </row>
    <row r="361" spans="1:9" ht="36" x14ac:dyDescent="0.35">
      <c r="A361" s="434"/>
      <c r="B361" s="622" t="s">
        <v>72</v>
      </c>
      <c r="C361" s="258" t="s">
        <v>71</v>
      </c>
      <c r="D361" s="259" t="s">
        <v>44</v>
      </c>
      <c r="E361" s="259" t="s">
        <v>36</v>
      </c>
      <c r="F361" s="260" t="s">
        <v>73</v>
      </c>
      <c r="G361" s="73"/>
      <c r="H361" s="267">
        <f t="shared" si="7"/>
        <v>1690.3000000000002</v>
      </c>
      <c r="I361" s="267">
        <f t="shared" si="7"/>
        <v>1690.3000000000002</v>
      </c>
    </row>
    <row r="362" spans="1:9" ht="36" x14ac:dyDescent="0.35">
      <c r="A362" s="434"/>
      <c r="B362" s="609" t="s">
        <v>74</v>
      </c>
      <c r="C362" s="258" t="s">
        <v>71</v>
      </c>
      <c r="D362" s="259" t="s">
        <v>44</v>
      </c>
      <c r="E362" s="259" t="s">
        <v>36</v>
      </c>
      <c r="F362" s="260" t="s">
        <v>73</v>
      </c>
      <c r="G362" s="73" t="s">
        <v>75</v>
      </c>
      <c r="H362" s="267">
        <f>'прил9 (ведом 25-26)'!M61+'прил9 (ведом 25-26)'!M159</f>
        <v>1690.3000000000002</v>
      </c>
      <c r="I362" s="267">
        <f>'прил9 (ведом 25-26)'!N61+'прил9 (ведом 25-26)'!N159</f>
        <v>1690.3000000000002</v>
      </c>
    </row>
    <row r="363" spans="1:9" ht="18" x14ac:dyDescent="0.35">
      <c r="A363" s="434"/>
      <c r="B363" s="613"/>
      <c r="C363" s="793"/>
      <c r="D363" s="793"/>
      <c r="E363" s="793"/>
      <c r="F363" s="794"/>
      <c r="G363" s="297"/>
      <c r="H363" s="267"/>
      <c r="I363" s="267"/>
    </row>
    <row r="364" spans="1:9" s="444" customFormat="1" ht="52.2" x14ac:dyDescent="0.3">
      <c r="A364" s="449">
        <v>15</v>
      </c>
      <c r="B364" s="618" t="s">
        <v>39</v>
      </c>
      <c r="C364" s="450" t="s">
        <v>40</v>
      </c>
      <c r="D364" s="450" t="s">
        <v>41</v>
      </c>
      <c r="E364" s="450" t="s">
        <v>42</v>
      </c>
      <c r="F364" s="451" t="s">
        <v>43</v>
      </c>
      <c r="G364" s="443"/>
      <c r="H364" s="310">
        <f>H365</f>
        <v>151730.9</v>
      </c>
      <c r="I364" s="310">
        <f>I365</f>
        <v>152646.39999999999</v>
      </c>
    </row>
    <row r="365" spans="1:9" s="444" customFormat="1" ht="18" x14ac:dyDescent="0.35">
      <c r="A365" s="434"/>
      <c r="B365" s="606" t="s">
        <v>359</v>
      </c>
      <c r="C365" s="258" t="s">
        <v>40</v>
      </c>
      <c r="D365" s="259" t="s">
        <v>44</v>
      </c>
      <c r="E365" s="259" t="s">
        <v>42</v>
      </c>
      <c r="F365" s="260" t="s">
        <v>43</v>
      </c>
      <c r="G365" s="73"/>
      <c r="H365" s="267">
        <f>H366+H369+H399+H388+H394+H403</f>
        <v>151730.9</v>
      </c>
      <c r="I365" s="267">
        <f>I366+I369+I399+I388+I394+I403</f>
        <v>152646.39999999999</v>
      </c>
    </row>
    <row r="366" spans="1:9" s="444" customFormat="1" ht="36" x14ac:dyDescent="0.35">
      <c r="A366" s="434"/>
      <c r="B366" s="606" t="s">
        <v>45</v>
      </c>
      <c r="C366" s="258" t="s">
        <v>40</v>
      </c>
      <c r="D366" s="259" t="s">
        <v>44</v>
      </c>
      <c r="E366" s="259" t="s">
        <v>36</v>
      </c>
      <c r="F366" s="260" t="s">
        <v>43</v>
      </c>
      <c r="G366" s="73"/>
      <c r="H366" s="267">
        <f>H367</f>
        <v>2716.7</v>
      </c>
      <c r="I366" s="267">
        <f>I367</f>
        <v>2716.7</v>
      </c>
    </row>
    <row r="367" spans="1:9" s="444" customFormat="1" ht="36" x14ac:dyDescent="0.35">
      <c r="A367" s="434"/>
      <c r="B367" s="606" t="s">
        <v>46</v>
      </c>
      <c r="C367" s="258" t="s">
        <v>40</v>
      </c>
      <c r="D367" s="259" t="s">
        <v>44</v>
      </c>
      <c r="E367" s="259" t="s">
        <v>36</v>
      </c>
      <c r="F367" s="260" t="s">
        <v>47</v>
      </c>
      <c r="G367" s="73"/>
      <c r="H367" s="267">
        <f>H368</f>
        <v>2716.7</v>
      </c>
      <c r="I367" s="267">
        <f>I368</f>
        <v>2716.7</v>
      </c>
    </row>
    <row r="368" spans="1:9" s="444" customFormat="1" ht="90" x14ac:dyDescent="0.35">
      <c r="A368" s="434"/>
      <c r="B368" s="606" t="s">
        <v>48</v>
      </c>
      <c r="C368" s="258" t="s">
        <v>40</v>
      </c>
      <c r="D368" s="259" t="s">
        <v>44</v>
      </c>
      <c r="E368" s="259" t="s">
        <v>36</v>
      </c>
      <c r="F368" s="260" t="s">
        <v>47</v>
      </c>
      <c r="G368" s="73" t="s">
        <v>49</v>
      </c>
      <c r="H368" s="267">
        <f>'прил9 (ведом 25-26)'!M21</f>
        <v>2716.7</v>
      </c>
      <c r="I368" s="267">
        <f>'прил9 (ведом 25-26)'!N21</f>
        <v>2716.7</v>
      </c>
    </row>
    <row r="369" spans="1:9" s="444" customFormat="1" ht="36" x14ac:dyDescent="0.35">
      <c r="A369" s="434"/>
      <c r="B369" s="606" t="s">
        <v>52</v>
      </c>
      <c r="C369" s="258" t="s">
        <v>40</v>
      </c>
      <c r="D369" s="259" t="s">
        <v>44</v>
      </c>
      <c r="E369" s="259" t="s">
        <v>38</v>
      </c>
      <c r="F369" s="260" t="s">
        <v>43</v>
      </c>
      <c r="G369" s="73"/>
      <c r="H369" s="267">
        <f>H370+H376+H378+H380+H374+H383+H386</f>
        <v>87898.4</v>
      </c>
      <c r="I369" s="267">
        <f>I370+I376+I378+I380+I374+I383+I386</f>
        <v>88739.4</v>
      </c>
    </row>
    <row r="370" spans="1:9" s="444" customFormat="1" ht="36" x14ac:dyDescent="0.35">
      <c r="A370" s="434"/>
      <c r="B370" s="606" t="s">
        <v>46</v>
      </c>
      <c r="C370" s="258" t="s">
        <v>40</v>
      </c>
      <c r="D370" s="259" t="s">
        <v>44</v>
      </c>
      <c r="E370" s="259" t="s">
        <v>38</v>
      </c>
      <c r="F370" s="260" t="s">
        <v>47</v>
      </c>
      <c r="G370" s="73"/>
      <c r="H370" s="267">
        <f>SUM(H371:H373)</f>
        <v>82057.5</v>
      </c>
      <c r="I370" s="267">
        <f>SUM(I371:I373)</f>
        <v>82057.5</v>
      </c>
    </row>
    <row r="371" spans="1:9" s="444" customFormat="1" ht="90" x14ac:dyDescent="0.35">
      <c r="A371" s="434"/>
      <c r="B371" s="606" t="s">
        <v>48</v>
      </c>
      <c r="C371" s="258" t="s">
        <v>40</v>
      </c>
      <c r="D371" s="259" t="s">
        <v>44</v>
      </c>
      <c r="E371" s="259" t="s">
        <v>38</v>
      </c>
      <c r="F371" s="260" t="s">
        <v>47</v>
      </c>
      <c r="G371" s="73" t="s">
        <v>49</v>
      </c>
      <c r="H371" s="267">
        <f>'прил9 (ведом 25-26)'!M27</f>
        <v>81048.399999999994</v>
      </c>
      <c r="I371" s="267">
        <f>'прил9 (ведом 25-26)'!N27</f>
        <v>81048.399999999994</v>
      </c>
    </row>
    <row r="372" spans="1:9" ht="36" x14ac:dyDescent="0.35">
      <c r="A372" s="434"/>
      <c r="B372" s="606" t="s">
        <v>53</v>
      </c>
      <c r="C372" s="258" t="s">
        <v>40</v>
      </c>
      <c r="D372" s="259" t="s">
        <v>44</v>
      </c>
      <c r="E372" s="259" t="s">
        <v>38</v>
      </c>
      <c r="F372" s="260" t="s">
        <v>47</v>
      </c>
      <c r="G372" s="73" t="s">
        <v>54</v>
      </c>
      <c r="H372" s="267">
        <f>'прил9 (ведом 25-26)'!M28</f>
        <v>948.8</v>
      </c>
      <c r="I372" s="267">
        <f>'прил9 (ведом 25-26)'!N28</f>
        <v>948.8</v>
      </c>
    </row>
    <row r="373" spans="1:9" ht="18" x14ac:dyDescent="0.35">
      <c r="A373" s="434"/>
      <c r="B373" s="607" t="s">
        <v>55</v>
      </c>
      <c r="C373" s="258" t="s">
        <v>40</v>
      </c>
      <c r="D373" s="259" t="s">
        <v>44</v>
      </c>
      <c r="E373" s="259" t="s">
        <v>38</v>
      </c>
      <c r="F373" s="260" t="s">
        <v>47</v>
      </c>
      <c r="G373" s="73" t="s">
        <v>56</v>
      </c>
      <c r="H373" s="267">
        <f>'прил9 (ведом 25-26)'!M29</f>
        <v>60.3</v>
      </c>
      <c r="I373" s="267">
        <f>'прил9 (ведом 25-26)'!N29</f>
        <v>60.3</v>
      </c>
    </row>
    <row r="374" spans="1:9" s="444" customFormat="1" ht="72" x14ac:dyDescent="0.35">
      <c r="A374" s="434"/>
      <c r="B374" s="607" t="s">
        <v>407</v>
      </c>
      <c r="C374" s="258" t="s">
        <v>40</v>
      </c>
      <c r="D374" s="259" t="s">
        <v>44</v>
      </c>
      <c r="E374" s="259" t="s">
        <v>38</v>
      </c>
      <c r="F374" s="260" t="s">
        <v>406</v>
      </c>
      <c r="G374" s="73"/>
      <c r="H374" s="267">
        <f>H375</f>
        <v>8.9</v>
      </c>
      <c r="I374" s="267">
        <f>I375</f>
        <v>85.9</v>
      </c>
    </row>
    <row r="375" spans="1:9" s="444" customFormat="1" ht="36" x14ac:dyDescent="0.35">
      <c r="A375" s="434"/>
      <c r="B375" s="607" t="s">
        <v>53</v>
      </c>
      <c r="C375" s="258" t="s">
        <v>40</v>
      </c>
      <c r="D375" s="259" t="s">
        <v>44</v>
      </c>
      <c r="E375" s="259" t="s">
        <v>38</v>
      </c>
      <c r="F375" s="260" t="s">
        <v>406</v>
      </c>
      <c r="G375" s="73" t="s">
        <v>54</v>
      </c>
      <c r="H375" s="267">
        <f>'прил9 (ведом 25-26)'!M45</f>
        <v>8.9</v>
      </c>
      <c r="I375" s="267">
        <f>'прил9 (ведом 25-26)'!N45</f>
        <v>85.9</v>
      </c>
    </row>
    <row r="376" spans="1:9" ht="180" x14ac:dyDescent="0.35">
      <c r="A376" s="434"/>
      <c r="B376" s="606" t="s">
        <v>655</v>
      </c>
      <c r="C376" s="258" t="s">
        <v>40</v>
      </c>
      <c r="D376" s="259" t="s">
        <v>44</v>
      </c>
      <c r="E376" s="259" t="s">
        <v>38</v>
      </c>
      <c r="F376" s="260" t="s">
        <v>279</v>
      </c>
      <c r="G376" s="73"/>
      <c r="H376" s="267">
        <f>H377</f>
        <v>63</v>
      </c>
      <c r="I376" s="267">
        <f>I377</f>
        <v>63</v>
      </c>
    </row>
    <row r="377" spans="1:9" ht="36" x14ac:dyDescent="0.35">
      <c r="A377" s="434"/>
      <c r="B377" s="606" t="s">
        <v>53</v>
      </c>
      <c r="C377" s="258" t="s">
        <v>40</v>
      </c>
      <c r="D377" s="259" t="s">
        <v>44</v>
      </c>
      <c r="E377" s="259" t="s">
        <v>38</v>
      </c>
      <c r="F377" s="260" t="s">
        <v>279</v>
      </c>
      <c r="G377" s="73" t="s">
        <v>54</v>
      </c>
      <c r="H377" s="267">
        <f>'прил9 (ведом 25-26)'!M31</f>
        <v>63</v>
      </c>
      <c r="I377" s="267">
        <f>'прил9 (ведом 25-26)'!N31</f>
        <v>63</v>
      </c>
    </row>
    <row r="378" spans="1:9" ht="162" x14ac:dyDescent="0.35">
      <c r="A378" s="434"/>
      <c r="B378" s="641" t="s">
        <v>472</v>
      </c>
      <c r="C378" s="258" t="s">
        <v>40</v>
      </c>
      <c r="D378" s="259" t="s">
        <v>44</v>
      </c>
      <c r="E378" s="259" t="s">
        <v>38</v>
      </c>
      <c r="F378" s="260" t="s">
        <v>57</v>
      </c>
      <c r="G378" s="73"/>
      <c r="H378" s="267">
        <f>H379</f>
        <v>775.8</v>
      </c>
      <c r="I378" s="267">
        <f>I379</f>
        <v>775.8</v>
      </c>
    </row>
    <row r="379" spans="1:9" ht="90" x14ac:dyDescent="0.35">
      <c r="A379" s="434"/>
      <c r="B379" s="607" t="s">
        <v>48</v>
      </c>
      <c r="C379" s="258" t="s">
        <v>40</v>
      </c>
      <c r="D379" s="259" t="s">
        <v>44</v>
      </c>
      <c r="E379" s="259" t="s">
        <v>38</v>
      </c>
      <c r="F379" s="260" t="s">
        <v>57</v>
      </c>
      <c r="G379" s="73" t="s">
        <v>49</v>
      </c>
      <c r="H379" s="267">
        <f>'прил9 (ведом 25-26)'!M33</f>
        <v>775.8</v>
      </c>
      <c r="I379" s="267">
        <f>'прил9 (ведом 25-26)'!N33</f>
        <v>775.8</v>
      </c>
    </row>
    <row r="380" spans="1:9" ht="54" x14ac:dyDescent="0.35">
      <c r="A380" s="434"/>
      <c r="B380" s="607" t="s">
        <v>430</v>
      </c>
      <c r="C380" s="258" t="s">
        <v>40</v>
      </c>
      <c r="D380" s="259" t="s">
        <v>44</v>
      </c>
      <c r="E380" s="259" t="s">
        <v>38</v>
      </c>
      <c r="F380" s="260" t="s">
        <v>59</v>
      </c>
      <c r="G380" s="73"/>
      <c r="H380" s="267">
        <f>H381+H382</f>
        <v>776</v>
      </c>
      <c r="I380" s="267">
        <f>I381+I382</f>
        <v>776</v>
      </c>
    </row>
    <row r="381" spans="1:9" ht="90" x14ac:dyDescent="0.35">
      <c r="A381" s="434"/>
      <c r="B381" s="607" t="s">
        <v>48</v>
      </c>
      <c r="C381" s="258" t="s">
        <v>40</v>
      </c>
      <c r="D381" s="259" t="s">
        <v>44</v>
      </c>
      <c r="E381" s="259" t="s">
        <v>38</v>
      </c>
      <c r="F381" s="260" t="s">
        <v>59</v>
      </c>
      <c r="G381" s="73" t="s">
        <v>49</v>
      </c>
      <c r="H381" s="267">
        <f>'прил9 (ведом 25-26)'!M35</f>
        <v>771.8</v>
      </c>
      <c r="I381" s="267">
        <f>'прил9 (ведом 25-26)'!N35</f>
        <v>771.8</v>
      </c>
    </row>
    <row r="382" spans="1:9" ht="36" x14ac:dyDescent="0.35">
      <c r="A382" s="434"/>
      <c r="B382" s="606" t="s">
        <v>53</v>
      </c>
      <c r="C382" s="258" t="s">
        <v>40</v>
      </c>
      <c r="D382" s="259" t="s">
        <v>44</v>
      </c>
      <c r="E382" s="259" t="s">
        <v>38</v>
      </c>
      <c r="F382" s="260" t="s">
        <v>59</v>
      </c>
      <c r="G382" s="73" t="s">
        <v>54</v>
      </c>
      <c r="H382" s="267">
        <f>'прил9 (ведом 25-26)'!M36</f>
        <v>4.2</v>
      </c>
      <c r="I382" s="267">
        <f>'прил9 (ведом 25-26)'!N36</f>
        <v>4.2</v>
      </c>
    </row>
    <row r="383" spans="1:9" ht="72" x14ac:dyDescent="0.35">
      <c r="A383" s="434"/>
      <c r="B383" s="606" t="s">
        <v>58</v>
      </c>
      <c r="C383" s="258" t="s">
        <v>40</v>
      </c>
      <c r="D383" s="259" t="s">
        <v>44</v>
      </c>
      <c r="E383" s="259" t="s">
        <v>38</v>
      </c>
      <c r="F383" s="260" t="s">
        <v>545</v>
      </c>
      <c r="G383" s="73"/>
      <c r="H383" s="267">
        <f>H384+H385</f>
        <v>4217.2</v>
      </c>
      <c r="I383" s="267">
        <f>I384+I385</f>
        <v>4217.2</v>
      </c>
    </row>
    <row r="384" spans="1:9" ht="90" x14ac:dyDescent="0.35">
      <c r="A384" s="434"/>
      <c r="B384" s="606" t="s">
        <v>48</v>
      </c>
      <c r="C384" s="258" t="s">
        <v>40</v>
      </c>
      <c r="D384" s="259" t="s">
        <v>44</v>
      </c>
      <c r="E384" s="259" t="s">
        <v>38</v>
      </c>
      <c r="F384" s="260" t="s">
        <v>545</v>
      </c>
      <c r="G384" s="73" t="s">
        <v>49</v>
      </c>
      <c r="H384" s="267">
        <f>'прил9 (ведом 25-26)'!M38</f>
        <v>4142.2</v>
      </c>
      <c r="I384" s="267">
        <f>'прил9 (ведом 25-26)'!N38</f>
        <v>4142.2</v>
      </c>
    </row>
    <row r="385" spans="1:9" ht="36" x14ac:dyDescent="0.35">
      <c r="A385" s="434"/>
      <c r="B385" s="606" t="s">
        <v>53</v>
      </c>
      <c r="C385" s="259" t="s">
        <v>40</v>
      </c>
      <c r="D385" s="259" t="s">
        <v>44</v>
      </c>
      <c r="E385" s="259" t="s">
        <v>38</v>
      </c>
      <c r="F385" s="260" t="s">
        <v>545</v>
      </c>
      <c r="G385" s="73" t="s">
        <v>54</v>
      </c>
      <c r="H385" s="267">
        <f>'прил9 (ведом 25-26)'!M39</f>
        <v>75</v>
      </c>
      <c r="I385" s="267">
        <f>'прил9 (ведом 25-26)'!N39</f>
        <v>75</v>
      </c>
    </row>
    <row r="386" spans="1:9" ht="18" x14ac:dyDescent="0.35">
      <c r="A386" s="434"/>
      <c r="B386" s="610" t="s">
        <v>691</v>
      </c>
      <c r="C386" s="799" t="s">
        <v>40</v>
      </c>
      <c r="D386" s="800" t="s">
        <v>44</v>
      </c>
      <c r="E386" s="800" t="s">
        <v>38</v>
      </c>
      <c r="F386" s="801" t="s">
        <v>643</v>
      </c>
      <c r="G386" s="55"/>
      <c r="H386" s="267">
        <f>H387</f>
        <v>0</v>
      </c>
      <c r="I386" s="267">
        <f>I387</f>
        <v>764</v>
      </c>
    </row>
    <row r="387" spans="1:9" ht="36" x14ac:dyDescent="0.35">
      <c r="A387" s="434"/>
      <c r="B387" s="610" t="s">
        <v>53</v>
      </c>
      <c r="C387" s="799" t="s">
        <v>40</v>
      </c>
      <c r="D387" s="800" t="s">
        <v>44</v>
      </c>
      <c r="E387" s="800" t="s">
        <v>38</v>
      </c>
      <c r="F387" s="801" t="s">
        <v>643</v>
      </c>
      <c r="G387" s="55" t="s">
        <v>54</v>
      </c>
      <c r="H387" s="267">
        <f>'прил9 (ведом 25-26)'!M66</f>
        <v>0</v>
      </c>
      <c r="I387" s="267">
        <f>'прил9 (ведом 25-26)'!N66</f>
        <v>764</v>
      </c>
    </row>
    <row r="388" spans="1:9" ht="18" x14ac:dyDescent="0.35">
      <c r="A388" s="434"/>
      <c r="B388" s="607" t="s">
        <v>60</v>
      </c>
      <c r="C388" s="258" t="s">
        <v>40</v>
      </c>
      <c r="D388" s="259" t="s">
        <v>44</v>
      </c>
      <c r="E388" s="259" t="s">
        <v>61</v>
      </c>
      <c r="F388" s="260" t="s">
        <v>43</v>
      </c>
      <c r="G388" s="73"/>
      <c r="H388" s="267">
        <f>H391+H389</f>
        <v>2409.8000000000002</v>
      </c>
      <c r="I388" s="267">
        <f>I391+I389</f>
        <v>2386.8000000000002</v>
      </c>
    </row>
    <row r="389" spans="1:9" ht="36" x14ac:dyDescent="0.35">
      <c r="A389" s="434"/>
      <c r="B389" s="610" t="s">
        <v>544</v>
      </c>
      <c r="C389" s="799" t="s">
        <v>40</v>
      </c>
      <c r="D389" s="800" t="s">
        <v>44</v>
      </c>
      <c r="E389" s="800" t="s">
        <v>61</v>
      </c>
      <c r="F389" s="801" t="s">
        <v>543</v>
      </c>
      <c r="G389" s="55"/>
      <c r="H389" s="267">
        <f>H390</f>
        <v>64.3</v>
      </c>
      <c r="I389" s="267">
        <f>I390</f>
        <v>64.3</v>
      </c>
    </row>
    <row r="390" spans="1:9" ht="36" x14ac:dyDescent="0.35">
      <c r="A390" s="434"/>
      <c r="B390" s="610" t="s">
        <v>53</v>
      </c>
      <c r="C390" s="799" t="s">
        <v>40</v>
      </c>
      <c r="D390" s="800" t="s">
        <v>44</v>
      </c>
      <c r="E390" s="800" t="s">
        <v>61</v>
      </c>
      <c r="F390" s="801" t="s">
        <v>543</v>
      </c>
      <c r="G390" s="55" t="s">
        <v>54</v>
      </c>
      <c r="H390" s="267">
        <f>'прил9 (ведом 25-26)'!M146</f>
        <v>64.3</v>
      </c>
      <c r="I390" s="267">
        <f>'прил9 (ведом 25-26)'!N146</f>
        <v>64.3</v>
      </c>
    </row>
    <row r="391" spans="1:9" ht="54" x14ac:dyDescent="0.35">
      <c r="A391" s="434"/>
      <c r="B391" s="615" t="s">
        <v>401</v>
      </c>
      <c r="C391" s="258" t="s">
        <v>40</v>
      </c>
      <c r="D391" s="259" t="s">
        <v>44</v>
      </c>
      <c r="E391" s="259" t="s">
        <v>61</v>
      </c>
      <c r="F391" s="260" t="s">
        <v>400</v>
      </c>
      <c r="G391" s="73"/>
      <c r="H391" s="267">
        <f>H392+H393</f>
        <v>2345.5</v>
      </c>
      <c r="I391" s="267">
        <f>I392+I393</f>
        <v>2322.5</v>
      </c>
    </row>
    <row r="392" spans="1:9" ht="36" x14ac:dyDescent="0.35">
      <c r="A392" s="434"/>
      <c r="B392" s="607" t="s">
        <v>53</v>
      </c>
      <c r="C392" s="258" t="s">
        <v>40</v>
      </c>
      <c r="D392" s="259" t="s">
        <v>44</v>
      </c>
      <c r="E392" s="259" t="s">
        <v>61</v>
      </c>
      <c r="F392" s="260" t="s">
        <v>400</v>
      </c>
      <c r="G392" s="73" t="s">
        <v>54</v>
      </c>
      <c r="H392" s="267">
        <f>'прил9 (ведом 25-26)'!M69</f>
        <v>2121.6999999999998</v>
      </c>
      <c r="I392" s="267">
        <f>'прил9 (ведом 25-26)'!N69</f>
        <v>2098.6999999999998</v>
      </c>
    </row>
    <row r="393" spans="1:9" ht="18" x14ac:dyDescent="0.35">
      <c r="A393" s="434"/>
      <c r="B393" s="607" t="s">
        <v>55</v>
      </c>
      <c r="C393" s="258" t="s">
        <v>40</v>
      </c>
      <c r="D393" s="259" t="s">
        <v>44</v>
      </c>
      <c r="E393" s="259" t="s">
        <v>61</v>
      </c>
      <c r="F393" s="260" t="s">
        <v>400</v>
      </c>
      <c r="G393" s="73" t="s">
        <v>56</v>
      </c>
      <c r="H393" s="267">
        <f>'прил9 (ведом 25-26)'!M70</f>
        <v>223.8</v>
      </c>
      <c r="I393" s="267">
        <f>'прил9 (ведом 25-26)'!N70</f>
        <v>223.8</v>
      </c>
    </row>
    <row r="394" spans="1:9" ht="18" x14ac:dyDescent="0.35">
      <c r="A394" s="434"/>
      <c r="B394" s="607" t="s">
        <v>62</v>
      </c>
      <c r="C394" s="258" t="s">
        <v>40</v>
      </c>
      <c r="D394" s="259" t="s">
        <v>44</v>
      </c>
      <c r="E394" s="259" t="s">
        <v>50</v>
      </c>
      <c r="F394" s="260" t="s">
        <v>43</v>
      </c>
      <c r="G394" s="73"/>
      <c r="H394" s="267">
        <f>H395+H397</f>
        <v>5564.6</v>
      </c>
      <c r="I394" s="267">
        <f>I395+I397</f>
        <v>5564.6</v>
      </c>
    </row>
    <row r="395" spans="1:9" ht="54" x14ac:dyDescent="0.35">
      <c r="A395" s="434"/>
      <c r="B395" s="623" t="s">
        <v>372</v>
      </c>
      <c r="C395" s="258" t="s">
        <v>40</v>
      </c>
      <c r="D395" s="259" t="s">
        <v>44</v>
      </c>
      <c r="E395" s="259" t="s">
        <v>50</v>
      </c>
      <c r="F395" s="260" t="s">
        <v>103</v>
      </c>
      <c r="G395" s="73"/>
      <c r="H395" s="267">
        <f>H396</f>
        <v>3475.6</v>
      </c>
      <c r="I395" s="267">
        <f>I396</f>
        <v>3475.6</v>
      </c>
    </row>
    <row r="396" spans="1:9" ht="36" x14ac:dyDescent="0.35">
      <c r="A396" s="434"/>
      <c r="B396" s="607" t="s">
        <v>53</v>
      </c>
      <c r="C396" s="258" t="s">
        <v>40</v>
      </c>
      <c r="D396" s="259" t="s">
        <v>44</v>
      </c>
      <c r="E396" s="259" t="s">
        <v>50</v>
      </c>
      <c r="F396" s="260" t="s">
        <v>103</v>
      </c>
      <c r="G396" s="73" t="s">
        <v>54</v>
      </c>
      <c r="H396" s="267">
        <f>'прил9 (ведом 25-26)'!M73</f>
        <v>3475.6</v>
      </c>
      <c r="I396" s="267">
        <f>'прил9 (ведом 25-26)'!N73</f>
        <v>3475.6</v>
      </c>
    </row>
    <row r="397" spans="1:9" ht="54" x14ac:dyDescent="0.35">
      <c r="A397" s="434"/>
      <c r="B397" s="607" t="s">
        <v>374</v>
      </c>
      <c r="C397" s="258" t="s">
        <v>40</v>
      </c>
      <c r="D397" s="259" t="s">
        <v>44</v>
      </c>
      <c r="E397" s="259" t="s">
        <v>50</v>
      </c>
      <c r="F397" s="260" t="s">
        <v>373</v>
      </c>
      <c r="G397" s="73"/>
      <c r="H397" s="267">
        <f>'прил9 (ведом 25-26)'!M74</f>
        <v>2089</v>
      </c>
      <c r="I397" s="267">
        <f>'прил9 (ведом 25-26)'!N74</f>
        <v>2089</v>
      </c>
    </row>
    <row r="398" spans="1:9" ht="36" x14ac:dyDescent="0.35">
      <c r="A398" s="434"/>
      <c r="B398" s="607" t="s">
        <v>53</v>
      </c>
      <c r="C398" s="258" t="s">
        <v>40</v>
      </c>
      <c r="D398" s="259" t="s">
        <v>44</v>
      </c>
      <c r="E398" s="259" t="s">
        <v>50</v>
      </c>
      <c r="F398" s="260" t="s">
        <v>373</v>
      </c>
      <c r="G398" s="73" t="s">
        <v>54</v>
      </c>
      <c r="H398" s="267">
        <f>'прил9 (ведом 25-26)'!M75</f>
        <v>2089</v>
      </c>
      <c r="I398" s="267">
        <f>'прил9 (ведом 25-26)'!N75</f>
        <v>2089</v>
      </c>
    </row>
    <row r="399" spans="1:9" ht="72" x14ac:dyDescent="0.35">
      <c r="A399" s="459"/>
      <c r="B399" s="629" t="s">
        <v>313</v>
      </c>
      <c r="C399" s="452" t="s">
        <v>40</v>
      </c>
      <c r="D399" s="460" t="s">
        <v>44</v>
      </c>
      <c r="E399" s="460" t="s">
        <v>79</v>
      </c>
      <c r="F399" s="470" t="s">
        <v>43</v>
      </c>
      <c r="G399" s="471"/>
      <c r="H399" s="267">
        <f>H400</f>
        <v>6658.2000000000007</v>
      </c>
      <c r="I399" s="267">
        <f>I400</f>
        <v>6664.0000000000009</v>
      </c>
    </row>
    <row r="400" spans="1:9" ht="36" x14ac:dyDescent="0.35">
      <c r="A400" s="459"/>
      <c r="B400" s="606" t="s">
        <v>484</v>
      </c>
      <c r="C400" s="452" t="s">
        <v>40</v>
      </c>
      <c r="D400" s="460" t="s">
        <v>44</v>
      </c>
      <c r="E400" s="460" t="s">
        <v>79</v>
      </c>
      <c r="F400" s="470" t="s">
        <v>89</v>
      </c>
      <c r="G400" s="471"/>
      <c r="H400" s="267">
        <f>SUM(H401:H402)</f>
        <v>6658.2000000000007</v>
      </c>
      <c r="I400" s="267">
        <f>SUM(I401:I402)</f>
        <v>6664.0000000000009</v>
      </c>
    </row>
    <row r="401" spans="1:9" ht="90" x14ac:dyDescent="0.35">
      <c r="A401" s="459"/>
      <c r="B401" s="629" t="s">
        <v>48</v>
      </c>
      <c r="C401" s="452" t="s">
        <v>40</v>
      </c>
      <c r="D401" s="460" t="s">
        <v>44</v>
      </c>
      <c r="E401" s="460" t="s">
        <v>79</v>
      </c>
      <c r="F401" s="470" t="s">
        <v>89</v>
      </c>
      <c r="G401" s="471" t="s">
        <v>49</v>
      </c>
      <c r="H401" s="267">
        <f>'прил9 (ведом 25-26)'!M239</f>
        <v>6149.9000000000005</v>
      </c>
      <c r="I401" s="267">
        <f>'прил9 (ведом 25-26)'!N239</f>
        <v>6149.9000000000005</v>
      </c>
    </row>
    <row r="402" spans="1:9" ht="36" x14ac:dyDescent="0.35">
      <c r="A402" s="459"/>
      <c r="B402" s="607" t="s">
        <v>53</v>
      </c>
      <c r="C402" s="452" t="s">
        <v>40</v>
      </c>
      <c r="D402" s="460" t="s">
        <v>44</v>
      </c>
      <c r="E402" s="460" t="s">
        <v>79</v>
      </c>
      <c r="F402" s="470" t="s">
        <v>89</v>
      </c>
      <c r="G402" s="471" t="s">
        <v>54</v>
      </c>
      <c r="H402" s="267">
        <f>'прил9 (ведом 25-26)'!M240</f>
        <v>508.3</v>
      </c>
      <c r="I402" s="267">
        <f>'прил9 (ведом 25-26)'!N240</f>
        <v>514.1</v>
      </c>
    </row>
    <row r="403" spans="1:9" ht="90" x14ac:dyDescent="0.35">
      <c r="A403" s="459"/>
      <c r="B403" s="610" t="s">
        <v>579</v>
      </c>
      <c r="C403" s="799" t="s">
        <v>40</v>
      </c>
      <c r="D403" s="800" t="s">
        <v>44</v>
      </c>
      <c r="E403" s="800" t="s">
        <v>577</v>
      </c>
      <c r="F403" s="801" t="s">
        <v>43</v>
      </c>
      <c r="G403" s="55"/>
      <c r="H403" s="267">
        <f>H404</f>
        <v>46483.200000000004</v>
      </c>
      <c r="I403" s="267">
        <f>I404</f>
        <v>46574.9</v>
      </c>
    </row>
    <row r="404" spans="1:9" ht="36" x14ac:dyDescent="0.35">
      <c r="A404" s="459"/>
      <c r="B404" s="642" t="s">
        <v>484</v>
      </c>
      <c r="C404" s="799" t="s">
        <v>40</v>
      </c>
      <c r="D404" s="800" t="s">
        <v>44</v>
      </c>
      <c r="E404" s="800" t="s">
        <v>577</v>
      </c>
      <c r="F404" s="801" t="s">
        <v>89</v>
      </c>
      <c r="G404" s="55"/>
      <c r="H404" s="267">
        <f>H405+H406+H407</f>
        <v>46483.200000000004</v>
      </c>
      <c r="I404" s="267">
        <f>I405+I406+I407</f>
        <v>46574.9</v>
      </c>
    </row>
    <row r="405" spans="1:9" ht="90" x14ac:dyDescent="0.35">
      <c r="A405" s="459"/>
      <c r="B405" s="610" t="s">
        <v>48</v>
      </c>
      <c r="C405" s="799" t="s">
        <v>40</v>
      </c>
      <c r="D405" s="800" t="s">
        <v>44</v>
      </c>
      <c r="E405" s="800" t="s">
        <v>577</v>
      </c>
      <c r="F405" s="801" t="s">
        <v>89</v>
      </c>
      <c r="G405" s="55" t="s">
        <v>49</v>
      </c>
      <c r="H405" s="267">
        <f>'прил9 (ведом 25-26)'!M78</f>
        <v>35688</v>
      </c>
      <c r="I405" s="267">
        <f>'прил9 (ведом 25-26)'!N78</f>
        <v>35688</v>
      </c>
    </row>
    <row r="406" spans="1:9" ht="36" x14ac:dyDescent="0.35">
      <c r="A406" s="459"/>
      <c r="B406" s="610" t="s">
        <v>53</v>
      </c>
      <c r="C406" s="799" t="s">
        <v>40</v>
      </c>
      <c r="D406" s="800" t="s">
        <v>44</v>
      </c>
      <c r="E406" s="800" t="s">
        <v>577</v>
      </c>
      <c r="F406" s="801" t="s">
        <v>89</v>
      </c>
      <c r="G406" s="55" t="s">
        <v>54</v>
      </c>
      <c r="H406" s="267">
        <f>'прил9 (ведом 25-26)'!M79</f>
        <v>10709.3</v>
      </c>
      <c r="I406" s="267">
        <f>'прил9 (ведом 25-26)'!N79</f>
        <v>10802.9</v>
      </c>
    </row>
    <row r="407" spans="1:9" ht="18" x14ac:dyDescent="0.35">
      <c r="A407" s="459"/>
      <c r="B407" s="610" t="s">
        <v>55</v>
      </c>
      <c r="C407" s="799" t="s">
        <v>40</v>
      </c>
      <c r="D407" s="800" t="s">
        <v>44</v>
      </c>
      <c r="E407" s="800" t="s">
        <v>577</v>
      </c>
      <c r="F407" s="801" t="s">
        <v>89</v>
      </c>
      <c r="G407" s="55" t="s">
        <v>56</v>
      </c>
      <c r="H407" s="267">
        <f>'прил9 (ведом 25-26)'!M80</f>
        <v>85.9</v>
      </c>
      <c r="I407" s="267">
        <f>'прил9 (ведом 25-26)'!N80</f>
        <v>84</v>
      </c>
    </row>
    <row r="408" spans="1:9" ht="18" x14ac:dyDescent="0.35">
      <c r="A408" s="459"/>
      <c r="B408" s="607"/>
      <c r="C408" s="259"/>
      <c r="D408" s="259"/>
      <c r="E408" s="259"/>
      <c r="F408" s="260"/>
      <c r="G408" s="73"/>
      <c r="H408" s="267"/>
      <c r="I408" s="267"/>
    </row>
    <row r="409" spans="1:9" ht="18" x14ac:dyDescent="0.35">
      <c r="A409" s="459"/>
      <c r="B409" s="629"/>
      <c r="C409" s="453"/>
      <c r="D409" s="460"/>
      <c r="E409" s="460"/>
      <c r="F409" s="470"/>
      <c r="G409" s="471"/>
      <c r="H409" s="267"/>
      <c r="I409" s="267"/>
    </row>
    <row r="410" spans="1:9" ht="34.799999999999997" x14ac:dyDescent="0.3">
      <c r="A410" s="449">
        <v>16</v>
      </c>
      <c r="B410" s="643" t="s">
        <v>129</v>
      </c>
      <c r="C410" s="450" t="s">
        <v>130</v>
      </c>
      <c r="D410" s="450" t="s">
        <v>41</v>
      </c>
      <c r="E410" s="450" t="s">
        <v>42</v>
      </c>
      <c r="F410" s="450" t="s">
        <v>43</v>
      </c>
      <c r="G410" s="443"/>
      <c r="H410" s="310">
        <f>H411</f>
        <v>7046.2</v>
      </c>
      <c r="I410" s="310">
        <f>I411</f>
        <v>7046.2999999999993</v>
      </c>
    </row>
    <row r="411" spans="1:9" ht="36" x14ac:dyDescent="0.35">
      <c r="A411" s="434"/>
      <c r="B411" s="644" t="s">
        <v>131</v>
      </c>
      <c r="C411" s="258" t="s">
        <v>130</v>
      </c>
      <c r="D411" s="259" t="s">
        <v>44</v>
      </c>
      <c r="E411" s="259" t="s">
        <v>42</v>
      </c>
      <c r="F411" s="260" t="s">
        <v>43</v>
      </c>
      <c r="G411" s="73"/>
      <c r="H411" s="267">
        <f>H412</f>
        <v>7046.2</v>
      </c>
      <c r="I411" s="267">
        <f>I412</f>
        <v>7046.2999999999993</v>
      </c>
    </row>
    <row r="412" spans="1:9" ht="36" x14ac:dyDescent="0.35">
      <c r="A412" s="434"/>
      <c r="B412" s="606" t="s">
        <v>46</v>
      </c>
      <c r="C412" s="258" t="s">
        <v>130</v>
      </c>
      <c r="D412" s="259" t="s">
        <v>44</v>
      </c>
      <c r="E412" s="259" t="s">
        <v>42</v>
      </c>
      <c r="F412" s="260" t="s">
        <v>47</v>
      </c>
      <c r="G412" s="73"/>
      <c r="H412" s="267">
        <f>H413+H414+H415</f>
        <v>7046.2</v>
      </c>
      <c r="I412" s="267">
        <f>I413+I414+I415</f>
        <v>7046.2999999999993</v>
      </c>
    </row>
    <row r="413" spans="1:9" ht="90" x14ac:dyDescent="0.35">
      <c r="A413" s="434"/>
      <c r="B413" s="622" t="s">
        <v>48</v>
      </c>
      <c r="C413" s="258" t="s">
        <v>130</v>
      </c>
      <c r="D413" s="259" t="s">
        <v>44</v>
      </c>
      <c r="E413" s="259" t="s">
        <v>42</v>
      </c>
      <c r="F413" s="260" t="s">
        <v>47</v>
      </c>
      <c r="G413" s="73" t="s">
        <v>49</v>
      </c>
      <c r="H413" s="267">
        <f>'прил9 (ведом 25-26)'!M201</f>
        <v>6810.5999999999995</v>
      </c>
      <c r="I413" s="267">
        <f>'прил9 (ведом 25-26)'!N201</f>
        <v>6810.5999999999995</v>
      </c>
    </row>
    <row r="414" spans="1:9" ht="36" x14ac:dyDescent="0.35">
      <c r="A414" s="434"/>
      <c r="B414" s="607" t="s">
        <v>53</v>
      </c>
      <c r="C414" s="258" t="s">
        <v>130</v>
      </c>
      <c r="D414" s="259" t="s">
        <v>44</v>
      </c>
      <c r="E414" s="259" t="s">
        <v>42</v>
      </c>
      <c r="F414" s="260" t="s">
        <v>47</v>
      </c>
      <c r="G414" s="73" t="s">
        <v>54</v>
      </c>
      <c r="H414" s="267">
        <f>'прил9 (ведом 25-26)'!M202</f>
        <v>216.6</v>
      </c>
      <c r="I414" s="267">
        <f>'прил9 (ведом 25-26)'!N202</f>
        <v>216.7</v>
      </c>
    </row>
    <row r="415" spans="1:9" ht="18" x14ac:dyDescent="0.35">
      <c r="A415" s="434"/>
      <c r="B415" s="607" t="s">
        <v>55</v>
      </c>
      <c r="C415" s="258" t="s">
        <v>130</v>
      </c>
      <c r="D415" s="259" t="s">
        <v>44</v>
      </c>
      <c r="E415" s="259" t="s">
        <v>42</v>
      </c>
      <c r="F415" s="260" t="s">
        <v>47</v>
      </c>
      <c r="G415" s="73" t="s">
        <v>56</v>
      </c>
      <c r="H415" s="267">
        <f>'прил9 (ведом 25-26)'!M203</f>
        <v>19</v>
      </c>
      <c r="I415" s="267">
        <f>'прил9 (ведом 25-26)'!N203</f>
        <v>19</v>
      </c>
    </row>
    <row r="416" spans="1:9" ht="18" x14ac:dyDescent="0.35">
      <c r="A416" s="434"/>
      <c r="B416" s="613"/>
      <c r="C416" s="793"/>
      <c r="D416" s="793"/>
      <c r="E416" s="793"/>
      <c r="F416" s="793"/>
      <c r="G416" s="297"/>
      <c r="H416" s="267"/>
      <c r="I416" s="267"/>
    </row>
    <row r="417" spans="1:9" s="444" customFormat="1" ht="52.2" x14ac:dyDescent="0.3">
      <c r="A417" s="449">
        <v>17</v>
      </c>
      <c r="B417" s="643" t="s">
        <v>470</v>
      </c>
      <c r="C417" s="450" t="s">
        <v>66</v>
      </c>
      <c r="D417" s="450" t="s">
        <v>41</v>
      </c>
      <c r="E417" s="450" t="s">
        <v>42</v>
      </c>
      <c r="F417" s="450" t="s">
        <v>43</v>
      </c>
      <c r="G417" s="443"/>
      <c r="H417" s="310">
        <f t="shared" ref="H417:I419" si="8">H418</f>
        <v>25000</v>
      </c>
      <c r="I417" s="310">
        <f t="shared" si="8"/>
        <v>15000</v>
      </c>
    </row>
    <row r="418" spans="1:9" ht="18" x14ac:dyDescent="0.35">
      <c r="A418" s="434"/>
      <c r="B418" s="622" t="s">
        <v>467</v>
      </c>
      <c r="C418" s="258" t="s">
        <v>66</v>
      </c>
      <c r="D418" s="259" t="s">
        <v>44</v>
      </c>
      <c r="E418" s="259" t="s">
        <v>42</v>
      </c>
      <c r="F418" s="260" t="s">
        <v>43</v>
      </c>
      <c r="G418" s="73"/>
      <c r="H418" s="267">
        <f>H419</f>
        <v>25000</v>
      </c>
      <c r="I418" s="267">
        <f>I419</f>
        <v>15000</v>
      </c>
    </row>
    <row r="419" spans="1:9" ht="36" x14ac:dyDescent="0.35">
      <c r="A419" s="434"/>
      <c r="B419" s="606" t="s">
        <v>465</v>
      </c>
      <c r="C419" s="258" t="s">
        <v>66</v>
      </c>
      <c r="D419" s="259" t="s">
        <v>44</v>
      </c>
      <c r="E419" s="259" t="s">
        <v>42</v>
      </c>
      <c r="F419" s="260" t="s">
        <v>67</v>
      </c>
      <c r="G419" s="73"/>
      <c r="H419" s="267">
        <f t="shared" si="8"/>
        <v>25000</v>
      </c>
      <c r="I419" s="267">
        <f t="shared" si="8"/>
        <v>15000</v>
      </c>
    </row>
    <row r="420" spans="1:9" ht="18" x14ac:dyDescent="0.35">
      <c r="A420" s="434"/>
      <c r="B420" s="606" t="s">
        <v>55</v>
      </c>
      <c r="C420" s="258" t="s">
        <v>66</v>
      </c>
      <c r="D420" s="259" t="s">
        <v>44</v>
      </c>
      <c r="E420" s="259" t="s">
        <v>42</v>
      </c>
      <c r="F420" s="260" t="s">
        <v>67</v>
      </c>
      <c r="G420" s="73" t="s">
        <v>56</v>
      </c>
      <c r="H420" s="267">
        <f>'прил9 (ведом 25-26)'!M50</f>
        <v>25000</v>
      </c>
      <c r="I420" s="267">
        <f>'прил9 (ведом 25-26)'!N50</f>
        <v>15000</v>
      </c>
    </row>
    <row r="421" spans="1:9" ht="18" x14ac:dyDescent="0.35">
      <c r="A421" s="434"/>
      <c r="B421" s="606"/>
      <c r="C421" s="258"/>
      <c r="D421" s="259"/>
      <c r="E421" s="259"/>
      <c r="F421" s="260"/>
      <c r="G421" s="73"/>
      <c r="H421" s="267"/>
      <c r="I421" s="267"/>
    </row>
    <row r="422" spans="1:9" s="444" customFormat="1" ht="17.399999999999999" x14ac:dyDescent="0.3">
      <c r="A422" s="85">
        <v>18</v>
      </c>
      <c r="B422" s="655" t="s">
        <v>382</v>
      </c>
      <c r="C422" s="493"/>
      <c r="D422" s="494"/>
      <c r="E422" s="494"/>
      <c r="F422" s="495"/>
      <c r="G422" s="200"/>
      <c r="H422" s="310">
        <f>H423</f>
        <v>44098.7</v>
      </c>
      <c r="I422" s="310">
        <f>I423</f>
        <v>93440.1</v>
      </c>
    </row>
    <row r="423" spans="1:9" ht="18" x14ac:dyDescent="0.35">
      <c r="A423" s="83"/>
      <c r="B423" s="614" t="s">
        <v>382</v>
      </c>
      <c r="C423" s="258"/>
      <c r="D423" s="259"/>
      <c r="E423" s="259"/>
      <c r="F423" s="260"/>
      <c r="G423" s="73"/>
      <c r="H423" s="496">
        <f>'прил9 (ведом 25-26)'!M567</f>
        <v>44098.7</v>
      </c>
      <c r="I423" s="496">
        <f>'прил9 (ведом 25-26)'!N567</f>
        <v>93440.1</v>
      </c>
    </row>
    <row r="424" spans="1:9" ht="31.2" customHeight="1" x14ac:dyDescent="0.35">
      <c r="A424" s="116"/>
      <c r="B424" s="497"/>
      <c r="C424" s="123"/>
      <c r="D424" s="123"/>
      <c r="E424" s="123"/>
      <c r="F424" s="123"/>
      <c r="G424" s="123"/>
      <c r="H424" s="498"/>
      <c r="I424" s="498"/>
    </row>
    <row r="425" spans="1:9" ht="18" x14ac:dyDescent="0.35">
      <c r="A425" s="785" t="s">
        <v>396</v>
      </c>
      <c r="B425" s="86"/>
      <c r="C425" s="87"/>
      <c r="D425" s="87"/>
      <c r="E425" s="87"/>
      <c r="F425" s="87"/>
      <c r="G425" s="88"/>
    </row>
    <row r="426" spans="1:9" ht="18" x14ac:dyDescent="0.35">
      <c r="A426" s="785" t="s">
        <v>397</v>
      </c>
      <c r="B426" s="86"/>
      <c r="C426" s="87"/>
      <c r="D426" s="87"/>
      <c r="E426" s="87"/>
      <c r="F426" s="87"/>
      <c r="G426" s="88"/>
    </row>
    <row r="427" spans="1:9" ht="18" x14ac:dyDescent="0.35">
      <c r="A427" s="787" t="s">
        <v>398</v>
      </c>
      <c r="B427" s="86"/>
      <c r="C427" s="90"/>
      <c r="D427" s="87"/>
      <c r="E427" s="87"/>
      <c r="F427" s="87"/>
      <c r="G427" s="90"/>
      <c r="H427" s="90"/>
      <c r="I427" s="734" t="s">
        <v>409</v>
      </c>
    </row>
    <row r="428" spans="1:9" x14ac:dyDescent="0.3">
      <c r="A428" s="430"/>
      <c r="B428" s="86"/>
      <c r="C428" s="87"/>
      <c r="D428" s="87"/>
      <c r="E428" s="87"/>
      <c r="F428" s="87"/>
    </row>
    <row r="429" spans="1:9" x14ac:dyDescent="0.3">
      <c r="A429" s="430"/>
      <c r="B429" s="86"/>
      <c r="C429" s="87"/>
      <c r="D429" s="87"/>
      <c r="E429" s="87"/>
      <c r="F429" s="87"/>
    </row>
    <row r="430" spans="1:9" ht="17.399999999999999" x14ac:dyDescent="0.3">
      <c r="A430" s="430"/>
      <c r="B430" s="86"/>
      <c r="C430" s="87"/>
      <c r="D430" s="87"/>
      <c r="E430" s="87"/>
      <c r="F430" s="87"/>
      <c r="G430" s="88"/>
    </row>
    <row r="431" spans="1:9" hidden="1" x14ac:dyDescent="0.3">
      <c r="A431" s="428">
        <v>1</v>
      </c>
      <c r="B431" s="500" t="s">
        <v>234</v>
      </c>
      <c r="H431" s="429">
        <f>H364+H336+H327+H284+H260+H241+H216+H193+H156+H116+H12+H358+H342+H352</f>
        <v>2003307.4999999998</v>
      </c>
      <c r="I431" s="429">
        <f>I364+I336+I327+I284+I260+I241+I216+I193+I156+I116+I12+I358+I342+I352</f>
        <v>2032820.6</v>
      </c>
    </row>
    <row r="432" spans="1:9" hidden="1" x14ac:dyDescent="0.3"/>
    <row r="433" spans="1:9" hidden="1" x14ac:dyDescent="0.3">
      <c r="H433" s="429">
        <f>(H431/H11)*100</f>
        <v>96.333220232506832</v>
      </c>
      <c r="I433" s="429">
        <f>(I431/I11)*100</f>
        <v>94.619549761102959</v>
      </c>
    </row>
    <row r="434" spans="1:9" hidden="1" x14ac:dyDescent="0.3">
      <c r="H434" s="429"/>
      <c r="I434" s="429"/>
    </row>
    <row r="435" spans="1:9" hidden="1" x14ac:dyDescent="0.3">
      <c r="A435" s="428">
        <v>1</v>
      </c>
      <c r="B435" s="500" t="s">
        <v>235</v>
      </c>
      <c r="H435" s="429">
        <f>H417+H410</f>
        <v>32046.2</v>
      </c>
      <c r="I435" s="429">
        <f>I417+I410</f>
        <v>22046.3</v>
      </c>
    </row>
    <row r="436" spans="1:9" hidden="1" x14ac:dyDescent="0.3">
      <c r="H436" s="429">
        <f>(H435/H440)*100</f>
        <v>1.5410884134688541</v>
      </c>
      <c r="I436" s="429">
        <f>(I435/I440)*100</f>
        <v>1.0262173888555035</v>
      </c>
    </row>
    <row r="437" spans="1:9" hidden="1" x14ac:dyDescent="0.3">
      <c r="H437" s="429"/>
      <c r="I437" s="429"/>
    </row>
    <row r="438" spans="1:9" hidden="1" x14ac:dyDescent="0.3">
      <c r="B438" s="500" t="s">
        <v>384</v>
      </c>
      <c r="H438" s="429">
        <f>H422</f>
        <v>44098.7</v>
      </c>
      <c r="I438" s="429">
        <f>I422</f>
        <v>93440.1</v>
      </c>
    </row>
    <row r="439" spans="1:9" hidden="1" x14ac:dyDescent="0.3">
      <c r="H439" s="429">
        <f>(H438/H440)*100</f>
        <v>2.1206881196222622</v>
      </c>
      <c r="I439" s="429">
        <f>(I438/I440)*100</f>
        <v>4.3494761223605387</v>
      </c>
    </row>
    <row r="440" spans="1:9" hidden="1" x14ac:dyDescent="0.3">
      <c r="B440" s="500" t="s">
        <v>200</v>
      </c>
      <c r="H440" s="429">
        <f>H435+H431+H438</f>
        <v>2079452.3999999997</v>
      </c>
      <c r="I440" s="429">
        <f>I435+I431+I438</f>
        <v>2148307</v>
      </c>
    </row>
    <row r="441" spans="1:9" hidden="1" x14ac:dyDescent="0.3"/>
  </sheetData>
  <autoFilter ref="A1:I440"/>
  <mergeCells count="7">
    <mergeCell ref="A5:I5"/>
    <mergeCell ref="C10:F10"/>
    <mergeCell ref="H8:I8"/>
    <mergeCell ref="A8:A9"/>
    <mergeCell ref="B8:B9"/>
    <mergeCell ref="C8:F9"/>
    <mergeCell ref="G8:G9"/>
  </mergeCells>
  <printOptions horizontalCentered="1"/>
  <pageMargins left="1.1811023622047245" right="0.39370078740157483" top="0.78740157480314965" bottom="0.78740157480314965" header="0" footer="0"/>
  <pageSetup paperSize="9" scale="70" fitToHeight="0" orientation="portrait" blackAndWhite="1" r:id="rId1"/>
  <headerFooter differentFirst="1" alignWithMargins="0">
    <oddHeader>&amp;C&amp;"Times New Roman,обычный"&amp;12&amp;P</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pageSetUpPr autoPageBreaks="0" fitToPage="1"/>
  </sheetPr>
  <dimension ref="A1:P878"/>
  <sheetViews>
    <sheetView zoomScale="80" zoomScaleNormal="80" zoomScaleSheetLayoutView="70" workbookViewId="0">
      <selection activeCell="A770" sqref="A770:XFD827"/>
    </sheetView>
  </sheetViews>
  <sheetFormatPr defaultColWidth="8.88671875" defaultRowHeight="14.4" x14ac:dyDescent="0.3"/>
  <cols>
    <col min="1" max="1" width="4.6640625" style="46" customWidth="1"/>
    <col min="2" max="2" width="54.44140625" style="601" customWidth="1"/>
    <col min="3" max="3" width="10" style="46" customWidth="1"/>
    <col min="4" max="5" width="4.109375" style="46" customWidth="1"/>
    <col min="6" max="6" width="3.33203125" style="46" customWidth="1"/>
    <col min="7" max="7" width="2.44140625" style="46" customWidth="1"/>
    <col min="8" max="8" width="3.33203125" style="46" customWidth="1"/>
    <col min="9" max="9" width="7.6640625" style="46" customWidth="1"/>
    <col min="10" max="10" width="6.5546875" style="46" customWidth="1"/>
    <col min="11" max="11" width="17.6640625" style="75" hidden="1" customWidth="1"/>
    <col min="12" max="12" width="14.109375" style="75" customWidth="1"/>
    <col min="13" max="13" width="14.33203125" style="75" customWidth="1"/>
    <col min="14" max="14" width="37.6640625" style="46" bestFit="1" customWidth="1"/>
    <col min="15" max="15" width="11.6640625" style="46" customWidth="1"/>
    <col min="16" max="16" width="9.33203125" style="46" bestFit="1" customWidth="1"/>
    <col min="17" max="16384" width="8.88671875" style="46"/>
  </cols>
  <sheetData>
    <row r="1" spans="1:15" ht="18" x14ac:dyDescent="0.35">
      <c r="K1" s="205"/>
      <c r="L1" s="205"/>
      <c r="M1" s="205" t="s">
        <v>529</v>
      </c>
    </row>
    <row r="2" spans="1:15" ht="18" customHeight="1" x14ac:dyDescent="0.35">
      <c r="K2" s="205"/>
      <c r="L2" s="205"/>
      <c r="M2" s="205" t="s">
        <v>695</v>
      </c>
    </row>
    <row r="3" spans="1:15" ht="14.4" customHeight="1" x14ac:dyDescent="0.3"/>
    <row r="4" spans="1:15" ht="14.4" customHeight="1" x14ac:dyDescent="0.3"/>
    <row r="5" spans="1:15" ht="17.399999999999999" customHeight="1" x14ac:dyDescent="0.3">
      <c r="A5" s="836" t="s">
        <v>627</v>
      </c>
      <c r="B5" s="836"/>
      <c r="C5" s="836"/>
      <c r="D5" s="836"/>
      <c r="E5" s="836"/>
      <c r="F5" s="836"/>
      <c r="G5" s="836"/>
      <c r="H5" s="836"/>
      <c r="I5" s="836"/>
      <c r="J5" s="836"/>
      <c r="K5" s="836"/>
      <c r="L5" s="836"/>
      <c r="M5" s="836"/>
    </row>
    <row r="6" spans="1:15" ht="17.399999999999999" customHeight="1" x14ac:dyDescent="0.3">
      <c r="A6" s="798"/>
      <c r="B6" s="602"/>
      <c r="C6" s="798"/>
      <c r="D6" s="798"/>
      <c r="E6" s="798"/>
      <c r="F6" s="798"/>
      <c r="G6" s="798"/>
      <c r="H6" s="798"/>
      <c r="I6" s="798"/>
      <c r="J6" s="798"/>
    </row>
    <row r="7" spans="1:15" ht="18" customHeight="1" x14ac:dyDescent="0.35">
      <c r="A7" s="47"/>
      <c r="B7" s="48"/>
      <c r="C7" s="49"/>
      <c r="D7" s="49"/>
      <c r="E7" s="49"/>
      <c r="F7" s="49"/>
      <c r="G7" s="47"/>
      <c r="H7" s="50"/>
      <c r="I7" s="51"/>
      <c r="J7" s="52"/>
      <c r="K7" s="570"/>
      <c r="L7" s="570"/>
      <c r="M7" s="570" t="s">
        <v>21</v>
      </c>
    </row>
    <row r="8" spans="1:15" ht="18" customHeight="1" x14ac:dyDescent="0.3">
      <c r="A8" s="840" t="s">
        <v>22</v>
      </c>
      <c r="B8" s="842" t="s">
        <v>23</v>
      </c>
      <c r="C8" s="844" t="s">
        <v>24</v>
      </c>
      <c r="D8" s="844" t="s">
        <v>25</v>
      </c>
      <c r="E8" s="844" t="s">
        <v>26</v>
      </c>
      <c r="F8" s="846" t="s">
        <v>27</v>
      </c>
      <c r="G8" s="847"/>
      <c r="H8" s="847"/>
      <c r="I8" s="848"/>
      <c r="J8" s="844" t="s">
        <v>28</v>
      </c>
      <c r="K8" s="852" t="s">
        <v>666</v>
      </c>
      <c r="L8" s="854" t="s">
        <v>514</v>
      </c>
      <c r="M8" s="855"/>
    </row>
    <row r="9" spans="1:15" ht="36.6" customHeight="1" x14ac:dyDescent="0.35">
      <c r="A9" s="841"/>
      <c r="B9" s="843"/>
      <c r="C9" s="845"/>
      <c r="D9" s="845"/>
      <c r="E9" s="845"/>
      <c r="F9" s="849"/>
      <c r="G9" s="850"/>
      <c r="H9" s="850"/>
      <c r="I9" s="851"/>
      <c r="J9" s="845"/>
      <c r="K9" s="853"/>
      <c r="L9" s="756" t="s">
        <v>667</v>
      </c>
      <c r="M9" s="757" t="s">
        <v>693</v>
      </c>
    </row>
    <row r="10" spans="1:15" ht="18" customHeight="1" x14ac:dyDescent="0.35">
      <c r="A10" s="53">
        <v>1</v>
      </c>
      <c r="B10" s="54">
        <v>2</v>
      </c>
      <c r="C10" s="55" t="s">
        <v>29</v>
      </c>
      <c r="D10" s="55" t="s">
        <v>30</v>
      </c>
      <c r="E10" s="55" t="s">
        <v>31</v>
      </c>
      <c r="F10" s="837" t="s">
        <v>32</v>
      </c>
      <c r="G10" s="838"/>
      <c r="H10" s="838"/>
      <c r="I10" s="839"/>
      <c r="J10" s="55" t="s">
        <v>33</v>
      </c>
      <c r="K10" s="76"/>
      <c r="L10" s="76">
        <v>8</v>
      </c>
      <c r="M10" s="76">
        <v>9</v>
      </c>
    </row>
    <row r="11" spans="1:15" ht="18" customHeight="1" x14ac:dyDescent="0.3">
      <c r="A11" s="56">
        <v>1</v>
      </c>
      <c r="B11" s="57" t="s">
        <v>200</v>
      </c>
      <c r="C11" s="58"/>
      <c r="D11" s="59"/>
      <c r="E11" s="59"/>
      <c r="F11" s="60"/>
      <c r="G11" s="61"/>
      <c r="H11" s="61"/>
      <c r="I11" s="62"/>
      <c r="J11" s="59"/>
      <c r="K11" s="312">
        <f>K12+K216+K262+K280+K553+K634+K692+K729+K383</f>
        <v>2358173.9639699999</v>
      </c>
      <c r="L11" s="312">
        <f>L12+L216+L262+L280+L553+L634+L692+L729+L383</f>
        <v>71533.299999999988</v>
      </c>
      <c r="M11" s="312">
        <f>M12+M216+M262+M280+M553+M634+M692+M729+M383</f>
        <v>2429707.2639699997</v>
      </c>
      <c r="N11" s="255"/>
    </row>
    <row r="12" spans="1:15" s="167" customFormat="1" ht="34.950000000000003" customHeight="1" x14ac:dyDescent="0.3">
      <c r="A12" s="162">
        <v>1</v>
      </c>
      <c r="B12" s="656" t="s">
        <v>0</v>
      </c>
      <c r="C12" s="63" t="s">
        <v>1</v>
      </c>
      <c r="D12" s="64"/>
      <c r="E12" s="64"/>
      <c r="F12" s="65"/>
      <c r="G12" s="66"/>
      <c r="H12" s="66"/>
      <c r="I12" s="67"/>
      <c r="J12" s="64"/>
      <c r="K12" s="77">
        <f>K13+K91+K125+K161+K178+K168+K197</f>
        <v>251535.92247000002</v>
      </c>
      <c r="L12" s="77">
        <f>L13+L91+L125+L161+L178+L168+L197+L204</f>
        <v>37725.199999999997</v>
      </c>
      <c r="M12" s="77">
        <f>M13+M91+M125+M161+M178+M168+M197+M204</f>
        <v>289261.12247</v>
      </c>
    </row>
    <row r="13" spans="1:15" s="168" customFormat="1" ht="18" customHeight="1" x14ac:dyDescent="0.35">
      <c r="A13" s="56"/>
      <c r="B13" s="610" t="s">
        <v>35</v>
      </c>
      <c r="C13" s="68" t="s">
        <v>1</v>
      </c>
      <c r="D13" s="55" t="s">
        <v>36</v>
      </c>
      <c r="E13" s="55"/>
      <c r="F13" s="799"/>
      <c r="G13" s="800"/>
      <c r="H13" s="800"/>
      <c r="I13" s="801"/>
      <c r="J13" s="55"/>
      <c r="K13" s="69">
        <f>K14+K20+K47+K52+K41</f>
        <v>176978.66644999999</v>
      </c>
      <c r="L13" s="69">
        <f t="shared" ref="L13" si="0">L14+L20+L47+L52+L41</f>
        <v>7022.9999999999982</v>
      </c>
      <c r="M13" s="69">
        <f>M14+M20+M47+M52+M41</f>
        <v>184001.66644999999</v>
      </c>
    </row>
    <row r="14" spans="1:15" s="163" customFormat="1" ht="54" customHeight="1" x14ac:dyDescent="0.35">
      <c r="A14" s="56"/>
      <c r="B14" s="610" t="s">
        <v>37</v>
      </c>
      <c r="C14" s="68" t="s">
        <v>1</v>
      </c>
      <c r="D14" s="55" t="s">
        <v>36</v>
      </c>
      <c r="E14" s="55" t="s">
        <v>38</v>
      </c>
      <c r="F14" s="799"/>
      <c r="G14" s="800"/>
      <c r="H14" s="800"/>
      <c r="I14" s="801"/>
      <c r="J14" s="55"/>
      <c r="K14" s="69">
        <f>K15</f>
        <v>2638.4</v>
      </c>
      <c r="L14" s="69">
        <f t="shared" ref="L14" si="1">L15</f>
        <v>0</v>
      </c>
      <c r="M14" s="69">
        <f>M15</f>
        <v>2638.4</v>
      </c>
      <c r="O14" s="163" t="s">
        <v>463</v>
      </c>
    </row>
    <row r="15" spans="1:15" s="163" customFormat="1" ht="54" customHeight="1" x14ac:dyDescent="0.35">
      <c r="A15" s="56"/>
      <c r="B15" s="610" t="s">
        <v>39</v>
      </c>
      <c r="C15" s="68" t="s">
        <v>1</v>
      </c>
      <c r="D15" s="55" t="s">
        <v>36</v>
      </c>
      <c r="E15" s="55" t="s">
        <v>38</v>
      </c>
      <c r="F15" s="799" t="s">
        <v>40</v>
      </c>
      <c r="G15" s="800" t="s">
        <v>41</v>
      </c>
      <c r="H15" s="800" t="s">
        <v>42</v>
      </c>
      <c r="I15" s="801" t="s">
        <v>43</v>
      </c>
      <c r="J15" s="55"/>
      <c r="K15" s="69">
        <f t="shared" ref="K15:M17" si="2">K16</f>
        <v>2638.4</v>
      </c>
      <c r="L15" s="69">
        <f t="shared" si="2"/>
        <v>0</v>
      </c>
      <c r="M15" s="69">
        <f t="shared" si="2"/>
        <v>2638.4</v>
      </c>
    </row>
    <row r="16" spans="1:15" s="163" customFormat="1" ht="36" customHeight="1" x14ac:dyDescent="0.35">
      <c r="A16" s="56"/>
      <c r="B16" s="610" t="s">
        <v>359</v>
      </c>
      <c r="C16" s="68" t="s">
        <v>1</v>
      </c>
      <c r="D16" s="55" t="s">
        <v>36</v>
      </c>
      <c r="E16" s="55" t="s">
        <v>38</v>
      </c>
      <c r="F16" s="799" t="s">
        <v>40</v>
      </c>
      <c r="G16" s="800" t="s">
        <v>44</v>
      </c>
      <c r="H16" s="800" t="s">
        <v>42</v>
      </c>
      <c r="I16" s="801" t="s">
        <v>43</v>
      </c>
      <c r="J16" s="55"/>
      <c r="K16" s="69">
        <f t="shared" si="2"/>
        <v>2638.4</v>
      </c>
      <c r="L16" s="69">
        <f t="shared" si="2"/>
        <v>0</v>
      </c>
      <c r="M16" s="69">
        <f t="shared" si="2"/>
        <v>2638.4</v>
      </c>
    </row>
    <row r="17" spans="1:14" s="163" customFormat="1" ht="54" customHeight="1" x14ac:dyDescent="0.35">
      <c r="A17" s="56"/>
      <c r="B17" s="610" t="s">
        <v>45</v>
      </c>
      <c r="C17" s="68" t="s">
        <v>1</v>
      </c>
      <c r="D17" s="55" t="s">
        <v>36</v>
      </c>
      <c r="E17" s="55" t="s">
        <v>38</v>
      </c>
      <c r="F17" s="799" t="s">
        <v>40</v>
      </c>
      <c r="G17" s="800" t="s">
        <v>44</v>
      </c>
      <c r="H17" s="800" t="s">
        <v>36</v>
      </c>
      <c r="I17" s="801" t="s">
        <v>43</v>
      </c>
      <c r="J17" s="55"/>
      <c r="K17" s="69">
        <f>K18</f>
        <v>2638.4</v>
      </c>
      <c r="L17" s="69">
        <f t="shared" si="2"/>
        <v>0</v>
      </c>
      <c r="M17" s="69">
        <f>M18</f>
        <v>2638.4</v>
      </c>
    </row>
    <row r="18" spans="1:14" s="163" customFormat="1" ht="36" customHeight="1" x14ac:dyDescent="0.35">
      <c r="A18" s="56"/>
      <c r="B18" s="610" t="s">
        <v>46</v>
      </c>
      <c r="C18" s="68" t="s">
        <v>1</v>
      </c>
      <c r="D18" s="55" t="s">
        <v>36</v>
      </c>
      <c r="E18" s="55" t="s">
        <v>38</v>
      </c>
      <c r="F18" s="799" t="s">
        <v>40</v>
      </c>
      <c r="G18" s="800" t="s">
        <v>44</v>
      </c>
      <c r="H18" s="800" t="s">
        <v>36</v>
      </c>
      <c r="I18" s="801" t="s">
        <v>47</v>
      </c>
      <c r="J18" s="55"/>
      <c r="K18" s="69">
        <f>K19</f>
        <v>2638.4</v>
      </c>
      <c r="L18" s="69">
        <f>L19</f>
        <v>0</v>
      </c>
      <c r="M18" s="69">
        <f>M19</f>
        <v>2638.4</v>
      </c>
    </row>
    <row r="19" spans="1:14" s="163" customFormat="1" ht="108" customHeight="1" x14ac:dyDescent="0.35">
      <c r="A19" s="56"/>
      <c r="B19" s="610" t="s">
        <v>48</v>
      </c>
      <c r="C19" s="68" t="s">
        <v>1</v>
      </c>
      <c r="D19" s="55" t="s">
        <v>36</v>
      </c>
      <c r="E19" s="55" t="s">
        <v>38</v>
      </c>
      <c r="F19" s="799" t="s">
        <v>40</v>
      </c>
      <c r="G19" s="800" t="s">
        <v>44</v>
      </c>
      <c r="H19" s="800" t="s">
        <v>36</v>
      </c>
      <c r="I19" s="801" t="s">
        <v>47</v>
      </c>
      <c r="J19" s="55" t="s">
        <v>49</v>
      </c>
      <c r="K19" s="69">
        <v>2638.4</v>
      </c>
      <c r="L19" s="69">
        <f>M19-K19</f>
        <v>0</v>
      </c>
      <c r="M19" s="69">
        <f>2638.4</f>
        <v>2638.4</v>
      </c>
    </row>
    <row r="20" spans="1:14" s="168" customFormat="1" ht="72" x14ac:dyDescent="0.35">
      <c r="A20" s="56"/>
      <c r="B20" s="610" t="s">
        <v>669</v>
      </c>
      <c r="C20" s="68" t="s">
        <v>1</v>
      </c>
      <c r="D20" s="55" t="s">
        <v>36</v>
      </c>
      <c r="E20" s="55" t="s">
        <v>50</v>
      </c>
      <c r="F20" s="799"/>
      <c r="G20" s="800"/>
      <c r="H20" s="800"/>
      <c r="I20" s="801"/>
      <c r="J20" s="55"/>
      <c r="K20" s="69">
        <f t="shared" ref="K20:M21" si="3">K21</f>
        <v>85082.373999999996</v>
      </c>
      <c r="L20" s="69">
        <f t="shared" si="3"/>
        <v>235.89999999999418</v>
      </c>
      <c r="M20" s="69">
        <f t="shared" si="3"/>
        <v>85318.27399999999</v>
      </c>
    </row>
    <row r="21" spans="1:14" s="168" customFormat="1" ht="54" customHeight="1" x14ac:dyDescent="0.35">
      <c r="A21" s="56"/>
      <c r="B21" s="610" t="s">
        <v>51</v>
      </c>
      <c r="C21" s="68" t="s">
        <v>1</v>
      </c>
      <c r="D21" s="55" t="s">
        <v>36</v>
      </c>
      <c r="E21" s="55" t="s">
        <v>50</v>
      </c>
      <c r="F21" s="799" t="s">
        <v>40</v>
      </c>
      <c r="G21" s="800" t="s">
        <v>41</v>
      </c>
      <c r="H21" s="800" t="s">
        <v>42</v>
      </c>
      <c r="I21" s="801" t="s">
        <v>43</v>
      </c>
      <c r="J21" s="55"/>
      <c r="K21" s="69">
        <f t="shared" si="3"/>
        <v>85082.373999999996</v>
      </c>
      <c r="L21" s="69">
        <f t="shared" si="3"/>
        <v>235.89999999999418</v>
      </c>
      <c r="M21" s="69">
        <f t="shared" si="3"/>
        <v>85318.27399999999</v>
      </c>
    </row>
    <row r="22" spans="1:14" s="52" customFormat="1" ht="36" customHeight="1" x14ac:dyDescent="0.35">
      <c r="A22" s="56"/>
      <c r="B22" s="610" t="s">
        <v>359</v>
      </c>
      <c r="C22" s="68" t="s">
        <v>1</v>
      </c>
      <c r="D22" s="55" t="s">
        <v>36</v>
      </c>
      <c r="E22" s="55" t="s">
        <v>50</v>
      </c>
      <c r="F22" s="799" t="s">
        <v>40</v>
      </c>
      <c r="G22" s="800" t="s">
        <v>44</v>
      </c>
      <c r="H22" s="800" t="s">
        <v>42</v>
      </c>
      <c r="I22" s="801" t="s">
        <v>43</v>
      </c>
      <c r="J22" s="55"/>
      <c r="K22" s="69">
        <f>K23+K38</f>
        <v>85082.373999999996</v>
      </c>
      <c r="L22" s="69">
        <f>L23+L38</f>
        <v>235.89999999999418</v>
      </c>
      <c r="M22" s="69">
        <f>M23+M38</f>
        <v>85318.27399999999</v>
      </c>
    </row>
    <row r="23" spans="1:14" s="52" customFormat="1" ht="36" customHeight="1" x14ac:dyDescent="0.35">
      <c r="A23" s="56"/>
      <c r="B23" s="610" t="s">
        <v>52</v>
      </c>
      <c r="C23" s="68" t="s">
        <v>1</v>
      </c>
      <c r="D23" s="55" t="s">
        <v>36</v>
      </c>
      <c r="E23" s="55" t="s">
        <v>50</v>
      </c>
      <c r="F23" s="799" t="s">
        <v>40</v>
      </c>
      <c r="G23" s="800" t="s">
        <v>44</v>
      </c>
      <c r="H23" s="800" t="s">
        <v>38</v>
      </c>
      <c r="I23" s="801" t="s">
        <v>43</v>
      </c>
      <c r="J23" s="55"/>
      <c r="K23" s="69">
        <f>K24+K30+K32+K28+K35</f>
        <v>85063.873999999996</v>
      </c>
      <c r="L23" s="69">
        <f t="shared" ref="L23" si="4">L24+L30+L32+L28+L35</f>
        <v>235.89999999999418</v>
      </c>
      <c r="M23" s="69">
        <f>M24+M30+M32+M28+M35</f>
        <v>85299.77399999999</v>
      </c>
    </row>
    <row r="24" spans="1:14" s="163" customFormat="1" ht="36" customHeight="1" x14ac:dyDescent="0.35">
      <c r="A24" s="56"/>
      <c r="B24" s="610" t="s">
        <v>46</v>
      </c>
      <c r="C24" s="68" t="s">
        <v>1</v>
      </c>
      <c r="D24" s="55" t="s">
        <v>36</v>
      </c>
      <c r="E24" s="55" t="s">
        <v>50</v>
      </c>
      <c r="F24" s="799" t="s">
        <v>40</v>
      </c>
      <c r="G24" s="800" t="s">
        <v>44</v>
      </c>
      <c r="H24" s="800" t="s">
        <v>38</v>
      </c>
      <c r="I24" s="801" t="s">
        <v>47</v>
      </c>
      <c r="J24" s="55"/>
      <c r="K24" s="69">
        <f>K25+K26+K27</f>
        <v>79384.27399999999</v>
      </c>
      <c r="L24" s="69">
        <f t="shared" ref="L24" si="5">L25+L26+L27</f>
        <v>235.89999999999418</v>
      </c>
      <c r="M24" s="69">
        <f>M25+M26+M27</f>
        <v>79620.173999999985</v>
      </c>
    </row>
    <row r="25" spans="1:14" s="163" customFormat="1" ht="108" customHeight="1" x14ac:dyDescent="0.35">
      <c r="A25" s="56"/>
      <c r="B25" s="610" t="s">
        <v>48</v>
      </c>
      <c r="C25" s="68" t="s">
        <v>1</v>
      </c>
      <c r="D25" s="55" t="s">
        <v>36</v>
      </c>
      <c r="E25" s="55" t="s">
        <v>50</v>
      </c>
      <c r="F25" s="799" t="s">
        <v>40</v>
      </c>
      <c r="G25" s="800" t="s">
        <v>44</v>
      </c>
      <c r="H25" s="800" t="s">
        <v>38</v>
      </c>
      <c r="I25" s="801" t="s">
        <v>47</v>
      </c>
      <c r="J25" s="55" t="s">
        <v>49</v>
      </c>
      <c r="K25" s="69">
        <v>78713.2</v>
      </c>
      <c r="L25" s="69">
        <f>M25-K25</f>
        <v>235.89999999999418</v>
      </c>
      <c r="M25" s="69">
        <f>78713.2+235.9</f>
        <v>78949.099999999991</v>
      </c>
      <c r="N25" s="168"/>
    </row>
    <row r="26" spans="1:14" s="52" customFormat="1" ht="54" customHeight="1" x14ac:dyDescent="0.35">
      <c r="A26" s="56"/>
      <c r="B26" s="610" t="s">
        <v>53</v>
      </c>
      <c r="C26" s="68" t="s">
        <v>1</v>
      </c>
      <c r="D26" s="55" t="s">
        <v>36</v>
      </c>
      <c r="E26" s="55" t="s">
        <v>50</v>
      </c>
      <c r="F26" s="799" t="s">
        <v>40</v>
      </c>
      <c r="G26" s="800" t="s">
        <v>44</v>
      </c>
      <c r="H26" s="800" t="s">
        <v>38</v>
      </c>
      <c r="I26" s="801" t="s">
        <v>47</v>
      </c>
      <c r="J26" s="55" t="s">
        <v>54</v>
      </c>
      <c r="K26" s="69">
        <f>542.6+3.474</f>
        <v>546.07400000000007</v>
      </c>
      <c r="L26" s="69">
        <f>M26-K26</f>
        <v>0</v>
      </c>
      <c r="M26" s="69">
        <f>542.6+3.474</f>
        <v>546.07400000000007</v>
      </c>
    </row>
    <row r="27" spans="1:14" s="163" customFormat="1" ht="18" customHeight="1" x14ac:dyDescent="0.35">
      <c r="A27" s="56"/>
      <c r="B27" s="610" t="s">
        <v>55</v>
      </c>
      <c r="C27" s="68" t="s">
        <v>1</v>
      </c>
      <c r="D27" s="55" t="s">
        <v>36</v>
      </c>
      <c r="E27" s="55" t="s">
        <v>50</v>
      </c>
      <c r="F27" s="799" t="s">
        <v>40</v>
      </c>
      <c r="G27" s="800" t="s">
        <v>44</v>
      </c>
      <c r="H27" s="800" t="s">
        <v>38</v>
      </c>
      <c r="I27" s="801" t="s">
        <v>47</v>
      </c>
      <c r="J27" s="55" t="s">
        <v>56</v>
      </c>
      <c r="K27" s="69">
        <f>60.3+64.7</f>
        <v>125</v>
      </c>
      <c r="L27" s="69">
        <f>M27-K27</f>
        <v>0</v>
      </c>
      <c r="M27" s="69">
        <f>60.3+64.7</f>
        <v>125</v>
      </c>
      <c r="N27" s="52"/>
    </row>
    <row r="28" spans="1:14" s="52" customFormat="1" ht="210.75" customHeight="1" x14ac:dyDescent="0.35">
      <c r="A28" s="56"/>
      <c r="B28" s="610" t="s">
        <v>655</v>
      </c>
      <c r="C28" s="68" t="s">
        <v>1</v>
      </c>
      <c r="D28" s="55" t="s">
        <v>36</v>
      </c>
      <c r="E28" s="55" t="s">
        <v>50</v>
      </c>
      <c r="F28" s="799" t="s">
        <v>40</v>
      </c>
      <c r="G28" s="800" t="s">
        <v>44</v>
      </c>
      <c r="H28" s="800" t="s">
        <v>38</v>
      </c>
      <c r="I28" s="801" t="s">
        <v>279</v>
      </c>
      <c r="J28" s="55"/>
      <c r="K28" s="69">
        <f>K29</f>
        <v>63</v>
      </c>
      <c r="L28" s="69">
        <f t="shared" ref="L28" si="6">L29</f>
        <v>0</v>
      </c>
      <c r="M28" s="69">
        <f>M29</f>
        <v>63</v>
      </c>
    </row>
    <row r="29" spans="1:14" s="168" customFormat="1" ht="54" customHeight="1" x14ac:dyDescent="0.35">
      <c r="A29" s="56"/>
      <c r="B29" s="610" t="s">
        <v>53</v>
      </c>
      <c r="C29" s="68" t="s">
        <v>1</v>
      </c>
      <c r="D29" s="55" t="s">
        <v>36</v>
      </c>
      <c r="E29" s="55" t="s">
        <v>50</v>
      </c>
      <c r="F29" s="799" t="s">
        <v>40</v>
      </c>
      <c r="G29" s="800" t="s">
        <v>44</v>
      </c>
      <c r="H29" s="800" t="s">
        <v>38</v>
      </c>
      <c r="I29" s="801" t="s">
        <v>279</v>
      </c>
      <c r="J29" s="55" t="s">
        <v>54</v>
      </c>
      <c r="K29" s="69">
        <v>63</v>
      </c>
      <c r="L29" s="69">
        <f>M29-K29</f>
        <v>0</v>
      </c>
      <c r="M29" s="69">
        <v>63</v>
      </c>
    </row>
    <row r="30" spans="1:14" s="168" customFormat="1" ht="198" customHeight="1" x14ac:dyDescent="0.35">
      <c r="A30" s="56"/>
      <c r="B30" s="657" t="s">
        <v>472</v>
      </c>
      <c r="C30" s="68" t="s">
        <v>1</v>
      </c>
      <c r="D30" s="55" t="s">
        <v>36</v>
      </c>
      <c r="E30" s="55" t="s">
        <v>50</v>
      </c>
      <c r="F30" s="799" t="s">
        <v>40</v>
      </c>
      <c r="G30" s="800" t="s">
        <v>44</v>
      </c>
      <c r="H30" s="800" t="s">
        <v>38</v>
      </c>
      <c r="I30" s="801" t="s">
        <v>57</v>
      </c>
      <c r="J30" s="55"/>
      <c r="K30" s="69">
        <f>K31</f>
        <v>755.8</v>
      </c>
      <c r="L30" s="69">
        <f t="shared" ref="L30" si="7">L31</f>
        <v>0</v>
      </c>
      <c r="M30" s="69">
        <f>M31</f>
        <v>755.8</v>
      </c>
    </row>
    <row r="31" spans="1:14" s="168" customFormat="1" ht="108" customHeight="1" x14ac:dyDescent="0.35">
      <c r="A31" s="56"/>
      <c r="B31" s="610" t="s">
        <v>48</v>
      </c>
      <c r="C31" s="68" t="s">
        <v>1</v>
      </c>
      <c r="D31" s="55" t="s">
        <v>36</v>
      </c>
      <c r="E31" s="55" t="s">
        <v>50</v>
      </c>
      <c r="F31" s="799" t="s">
        <v>40</v>
      </c>
      <c r="G31" s="800" t="s">
        <v>44</v>
      </c>
      <c r="H31" s="800" t="s">
        <v>38</v>
      </c>
      <c r="I31" s="801" t="s">
        <v>57</v>
      </c>
      <c r="J31" s="55" t="s">
        <v>49</v>
      </c>
      <c r="K31" s="69">
        <v>755.8</v>
      </c>
      <c r="L31" s="69">
        <f>M31-K31</f>
        <v>0</v>
      </c>
      <c r="M31" s="69">
        <v>755.8</v>
      </c>
    </row>
    <row r="32" spans="1:14" s="168" customFormat="1" ht="72" customHeight="1" x14ac:dyDescent="0.35">
      <c r="A32" s="56"/>
      <c r="B32" s="610" t="s">
        <v>430</v>
      </c>
      <c r="C32" s="68" t="s">
        <v>1</v>
      </c>
      <c r="D32" s="55" t="s">
        <v>36</v>
      </c>
      <c r="E32" s="55" t="s">
        <v>50</v>
      </c>
      <c r="F32" s="799" t="s">
        <v>40</v>
      </c>
      <c r="G32" s="800" t="s">
        <v>44</v>
      </c>
      <c r="H32" s="800" t="s">
        <v>38</v>
      </c>
      <c r="I32" s="801" t="s">
        <v>59</v>
      </c>
      <c r="J32" s="55"/>
      <c r="K32" s="69">
        <f>K33+K34</f>
        <v>756</v>
      </c>
      <c r="L32" s="69">
        <f t="shared" ref="L32" si="8">L33+L34</f>
        <v>0</v>
      </c>
      <c r="M32" s="69">
        <f>M33+M34</f>
        <v>756</v>
      </c>
    </row>
    <row r="33" spans="1:13" s="168" customFormat="1" ht="108" customHeight="1" x14ac:dyDescent="0.35">
      <c r="A33" s="56"/>
      <c r="B33" s="610" t="s">
        <v>48</v>
      </c>
      <c r="C33" s="68" t="s">
        <v>1</v>
      </c>
      <c r="D33" s="55" t="s">
        <v>36</v>
      </c>
      <c r="E33" s="55" t="s">
        <v>50</v>
      </c>
      <c r="F33" s="799" t="s">
        <v>40</v>
      </c>
      <c r="G33" s="800" t="s">
        <v>44</v>
      </c>
      <c r="H33" s="800" t="s">
        <v>38</v>
      </c>
      <c r="I33" s="801" t="s">
        <v>59</v>
      </c>
      <c r="J33" s="55" t="s">
        <v>49</v>
      </c>
      <c r="K33" s="69">
        <v>751.8</v>
      </c>
      <c r="L33" s="69">
        <f>M33-K33</f>
        <v>0</v>
      </c>
      <c r="M33" s="69">
        <v>751.8</v>
      </c>
    </row>
    <row r="34" spans="1:13" s="168" customFormat="1" ht="54" customHeight="1" x14ac:dyDescent="0.35">
      <c r="A34" s="56"/>
      <c r="B34" s="610" t="s">
        <v>53</v>
      </c>
      <c r="C34" s="68" t="s">
        <v>1</v>
      </c>
      <c r="D34" s="55" t="s">
        <v>36</v>
      </c>
      <c r="E34" s="55" t="s">
        <v>50</v>
      </c>
      <c r="F34" s="799" t="s">
        <v>40</v>
      </c>
      <c r="G34" s="800" t="s">
        <v>44</v>
      </c>
      <c r="H34" s="800" t="s">
        <v>38</v>
      </c>
      <c r="I34" s="801" t="s">
        <v>59</v>
      </c>
      <c r="J34" s="55" t="s">
        <v>54</v>
      </c>
      <c r="K34" s="69">
        <v>4.2</v>
      </c>
      <c r="L34" s="69">
        <f>M34-K34</f>
        <v>0</v>
      </c>
      <c r="M34" s="69">
        <v>4.2</v>
      </c>
    </row>
    <row r="35" spans="1:13" s="168" customFormat="1" ht="72" customHeight="1" x14ac:dyDescent="0.35">
      <c r="A35" s="56"/>
      <c r="B35" s="610" t="s">
        <v>58</v>
      </c>
      <c r="C35" s="68" t="s">
        <v>1</v>
      </c>
      <c r="D35" s="55" t="s">
        <v>36</v>
      </c>
      <c r="E35" s="55" t="s">
        <v>50</v>
      </c>
      <c r="F35" s="799" t="s">
        <v>40</v>
      </c>
      <c r="G35" s="800" t="s">
        <v>44</v>
      </c>
      <c r="H35" s="800" t="s">
        <v>38</v>
      </c>
      <c r="I35" s="801" t="s">
        <v>545</v>
      </c>
      <c r="J35" s="55"/>
      <c r="K35" s="69">
        <f>SUM(K36:K37)</f>
        <v>4104.8</v>
      </c>
      <c r="L35" s="69">
        <f t="shared" ref="L35" si="9">SUM(L36:L37)</f>
        <v>0</v>
      </c>
      <c r="M35" s="69">
        <f>SUM(M36:M37)</f>
        <v>4104.8</v>
      </c>
    </row>
    <row r="36" spans="1:13" s="168" customFormat="1" ht="108" customHeight="1" x14ac:dyDescent="0.35">
      <c r="A36" s="56"/>
      <c r="B36" s="610" t="s">
        <v>48</v>
      </c>
      <c r="C36" s="68" t="s">
        <v>1</v>
      </c>
      <c r="D36" s="55" t="s">
        <v>36</v>
      </c>
      <c r="E36" s="55" t="s">
        <v>50</v>
      </c>
      <c r="F36" s="799" t="s">
        <v>40</v>
      </c>
      <c r="G36" s="800" t="s">
        <v>44</v>
      </c>
      <c r="H36" s="800" t="s">
        <v>38</v>
      </c>
      <c r="I36" s="801" t="s">
        <v>545</v>
      </c>
      <c r="J36" s="55" t="s">
        <v>49</v>
      </c>
      <c r="K36" s="69">
        <v>4029.8</v>
      </c>
      <c r="L36" s="69">
        <f>M36-K36</f>
        <v>0</v>
      </c>
      <c r="M36" s="69">
        <v>4029.8</v>
      </c>
    </row>
    <row r="37" spans="1:13" s="168" customFormat="1" ht="54" customHeight="1" x14ac:dyDescent="0.35">
      <c r="A37" s="56"/>
      <c r="B37" s="610" t="s">
        <v>53</v>
      </c>
      <c r="C37" s="68" t="s">
        <v>1</v>
      </c>
      <c r="D37" s="55" t="s">
        <v>36</v>
      </c>
      <c r="E37" s="55" t="s">
        <v>50</v>
      </c>
      <c r="F37" s="799" t="s">
        <v>40</v>
      </c>
      <c r="G37" s="800" t="s">
        <v>44</v>
      </c>
      <c r="H37" s="800" t="s">
        <v>38</v>
      </c>
      <c r="I37" s="801" t="s">
        <v>545</v>
      </c>
      <c r="J37" s="55" t="s">
        <v>54</v>
      </c>
      <c r="K37" s="69">
        <v>75</v>
      </c>
      <c r="L37" s="69">
        <f>M37-K37</f>
        <v>0</v>
      </c>
      <c r="M37" s="69">
        <v>75</v>
      </c>
    </row>
    <row r="38" spans="1:13" s="168" customFormat="1" ht="18" x14ac:dyDescent="0.35">
      <c r="A38" s="56"/>
      <c r="B38" s="610" t="s">
        <v>60</v>
      </c>
      <c r="C38" s="68" t="s">
        <v>1</v>
      </c>
      <c r="D38" s="55" t="s">
        <v>36</v>
      </c>
      <c r="E38" s="55" t="s">
        <v>50</v>
      </c>
      <c r="F38" s="799" t="s">
        <v>40</v>
      </c>
      <c r="G38" s="800" t="s">
        <v>44</v>
      </c>
      <c r="H38" s="800" t="s">
        <v>61</v>
      </c>
      <c r="I38" s="801" t="s">
        <v>43</v>
      </c>
      <c r="J38" s="55"/>
      <c r="K38" s="69">
        <f t="shared" ref="K38:M39" si="10">K39</f>
        <v>18.5</v>
      </c>
      <c r="L38" s="69">
        <f t="shared" si="10"/>
        <v>0</v>
      </c>
      <c r="M38" s="69">
        <f t="shared" si="10"/>
        <v>18.5</v>
      </c>
    </row>
    <row r="39" spans="1:13" s="168" customFormat="1" ht="36" x14ac:dyDescent="0.35">
      <c r="A39" s="56"/>
      <c r="B39" s="610" t="s">
        <v>46</v>
      </c>
      <c r="C39" s="68" t="s">
        <v>1</v>
      </c>
      <c r="D39" s="55" t="s">
        <v>36</v>
      </c>
      <c r="E39" s="55" t="s">
        <v>50</v>
      </c>
      <c r="F39" s="799" t="s">
        <v>40</v>
      </c>
      <c r="G39" s="800" t="s">
        <v>44</v>
      </c>
      <c r="H39" s="800" t="s">
        <v>61</v>
      </c>
      <c r="I39" s="801" t="s">
        <v>47</v>
      </c>
      <c r="J39" s="55"/>
      <c r="K39" s="69">
        <f t="shared" si="10"/>
        <v>18.5</v>
      </c>
      <c r="L39" s="69">
        <f t="shared" si="10"/>
        <v>0</v>
      </c>
      <c r="M39" s="69">
        <f t="shared" si="10"/>
        <v>18.5</v>
      </c>
    </row>
    <row r="40" spans="1:13" s="168" customFormat="1" ht="54" customHeight="1" x14ac:dyDescent="0.35">
      <c r="A40" s="56"/>
      <c r="B40" s="610" t="s">
        <v>53</v>
      </c>
      <c r="C40" s="68" t="s">
        <v>1</v>
      </c>
      <c r="D40" s="55" t="s">
        <v>36</v>
      </c>
      <c r="E40" s="55" t="s">
        <v>50</v>
      </c>
      <c r="F40" s="799" t="s">
        <v>40</v>
      </c>
      <c r="G40" s="800" t="s">
        <v>44</v>
      </c>
      <c r="H40" s="800" t="s">
        <v>61</v>
      </c>
      <c r="I40" s="801" t="s">
        <v>47</v>
      </c>
      <c r="J40" s="55" t="s">
        <v>54</v>
      </c>
      <c r="K40" s="69">
        <f>15+3.5</f>
        <v>18.5</v>
      </c>
      <c r="L40" s="69">
        <f>M40-K40</f>
        <v>0</v>
      </c>
      <c r="M40" s="69">
        <f>15+3.5</f>
        <v>18.5</v>
      </c>
    </row>
    <row r="41" spans="1:13" s="52" customFormat="1" ht="18" customHeight="1" x14ac:dyDescent="0.35">
      <c r="A41" s="56"/>
      <c r="B41" s="610" t="s">
        <v>405</v>
      </c>
      <c r="C41" s="68" t="s">
        <v>1</v>
      </c>
      <c r="D41" s="55" t="s">
        <v>36</v>
      </c>
      <c r="E41" s="55" t="s">
        <v>63</v>
      </c>
      <c r="F41" s="799"/>
      <c r="G41" s="800"/>
      <c r="H41" s="800"/>
      <c r="I41" s="801"/>
      <c r="J41" s="55"/>
      <c r="K41" s="69">
        <f t="shared" ref="K41:M45" si="11">K42</f>
        <v>8.6</v>
      </c>
      <c r="L41" s="69">
        <f t="shared" si="11"/>
        <v>0</v>
      </c>
      <c r="M41" s="69">
        <f t="shared" si="11"/>
        <v>8.6</v>
      </c>
    </row>
    <row r="42" spans="1:13" s="52" customFormat="1" ht="54" customHeight="1" x14ac:dyDescent="0.35">
      <c r="A42" s="56"/>
      <c r="B42" s="610" t="s">
        <v>51</v>
      </c>
      <c r="C42" s="68" t="s">
        <v>1</v>
      </c>
      <c r="D42" s="55" t="s">
        <v>36</v>
      </c>
      <c r="E42" s="55" t="s">
        <v>63</v>
      </c>
      <c r="F42" s="799" t="s">
        <v>40</v>
      </c>
      <c r="G42" s="800" t="s">
        <v>41</v>
      </c>
      <c r="H42" s="800" t="s">
        <v>42</v>
      </c>
      <c r="I42" s="801" t="s">
        <v>43</v>
      </c>
      <c r="J42" s="55"/>
      <c r="K42" s="69">
        <f t="shared" si="11"/>
        <v>8.6</v>
      </c>
      <c r="L42" s="69">
        <f t="shared" si="11"/>
        <v>0</v>
      </c>
      <c r="M42" s="69">
        <f t="shared" si="11"/>
        <v>8.6</v>
      </c>
    </row>
    <row r="43" spans="1:13" s="52" customFormat="1" ht="36" customHeight="1" x14ac:dyDescent="0.35">
      <c r="A43" s="56"/>
      <c r="B43" s="610" t="s">
        <v>359</v>
      </c>
      <c r="C43" s="68" t="s">
        <v>1</v>
      </c>
      <c r="D43" s="55" t="s">
        <v>36</v>
      </c>
      <c r="E43" s="55" t="s">
        <v>63</v>
      </c>
      <c r="F43" s="799" t="s">
        <v>40</v>
      </c>
      <c r="G43" s="800" t="s">
        <v>44</v>
      </c>
      <c r="H43" s="800" t="s">
        <v>42</v>
      </c>
      <c r="I43" s="801" t="s">
        <v>43</v>
      </c>
      <c r="J43" s="55"/>
      <c r="K43" s="69">
        <f t="shared" si="11"/>
        <v>8.6</v>
      </c>
      <c r="L43" s="69">
        <f t="shared" si="11"/>
        <v>0</v>
      </c>
      <c r="M43" s="69">
        <f t="shared" si="11"/>
        <v>8.6</v>
      </c>
    </row>
    <row r="44" spans="1:13" s="52" customFormat="1" ht="36" customHeight="1" x14ac:dyDescent="0.35">
      <c r="A44" s="56"/>
      <c r="B44" s="610" t="s">
        <v>52</v>
      </c>
      <c r="C44" s="68" t="s">
        <v>1</v>
      </c>
      <c r="D44" s="55" t="s">
        <v>36</v>
      </c>
      <c r="E44" s="55" t="s">
        <v>63</v>
      </c>
      <c r="F44" s="799" t="s">
        <v>40</v>
      </c>
      <c r="G44" s="800" t="s">
        <v>44</v>
      </c>
      <c r="H44" s="800" t="s">
        <v>38</v>
      </c>
      <c r="I44" s="801" t="s">
        <v>43</v>
      </c>
      <c r="J44" s="55"/>
      <c r="K44" s="69">
        <f t="shared" si="11"/>
        <v>8.6</v>
      </c>
      <c r="L44" s="69">
        <f t="shared" si="11"/>
        <v>0</v>
      </c>
      <c r="M44" s="69">
        <f t="shared" si="11"/>
        <v>8.6</v>
      </c>
    </row>
    <row r="45" spans="1:13" s="52" customFormat="1" ht="72" customHeight="1" x14ac:dyDescent="0.35">
      <c r="A45" s="56"/>
      <c r="B45" s="610" t="s">
        <v>407</v>
      </c>
      <c r="C45" s="68" t="s">
        <v>1</v>
      </c>
      <c r="D45" s="55" t="s">
        <v>36</v>
      </c>
      <c r="E45" s="55" t="s">
        <v>63</v>
      </c>
      <c r="F45" s="799" t="s">
        <v>40</v>
      </c>
      <c r="G45" s="800" t="s">
        <v>44</v>
      </c>
      <c r="H45" s="800" t="s">
        <v>38</v>
      </c>
      <c r="I45" s="801" t="s">
        <v>406</v>
      </c>
      <c r="J45" s="55"/>
      <c r="K45" s="69">
        <f>K46</f>
        <v>8.6</v>
      </c>
      <c r="L45" s="69">
        <f t="shared" si="11"/>
        <v>0</v>
      </c>
      <c r="M45" s="69">
        <f>M46</f>
        <v>8.6</v>
      </c>
    </row>
    <row r="46" spans="1:13" s="52" customFormat="1" ht="54" customHeight="1" x14ac:dyDescent="0.35">
      <c r="A46" s="56"/>
      <c r="B46" s="610" t="s">
        <v>53</v>
      </c>
      <c r="C46" s="68" t="s">
        <v>1</v>
      </c>
      <c r="D46" s="55" t="s">
        <v>36</v>
      </c>
      <c r="E46" s="55" t="s">
        <v>63</v>
      </c>
      <c r="F46" s="799" t="s">
        <v>40</v>
      </c>
      <c r="G46" s="800" t="s">
        <v>44</v>
      </c>
      <c r="H46" s="800" t="s">
        <v>38</v>
      </c>
      <c r="I46" s="801" t="s">
        <v>406</v>
      </c>
      <c r="J46" s="55" t="s">
        <v>54</v>
      </c>
      <c r="K46" s="69">
        <v>8.6</v>
      </c>
      <c r="L46" s="69">
        <f>M46-K46</f>
        <v>0</v>
      </c>
      <c r="M46" s="69">
        <v>8.6</v>
      </c>
    </row>
    <row r="47" spans="1:13" s="163" customFormat="1" ht="18" customHeight="1" x14ac:dyDescent="0.35">
      <c r="A47" s="56"/>
      <c r="B47" s="610" t="s">
        <v>64</v>
      </c>
      <c r="C47" s="68" t="s">
        <v>1</v>
      </c>
      <c r="D47" s="55" t="s">
        <v>36</v>
      </c>
      <c r="E47" s="55" t="s">
        <v>65</v>
      </c>
      <c r="F47" s="799"/>
      <c r="G47" s="800"/>
      <c r="H47" s="800"/>
      <c r="I47" s="801"/>
      <c r="J47" s="55"/>
      <c r="K47" s="69">
        <f t="shared" ref="K47:M48" si="12">K48</f>
        <v>21322.409049999995</v>
      </c>
      <c r="L47" s="69">
        <f t="shared" si="12"/>
        <v>-972.59999999999854</v>
      </c>
      <c r="M47" s="69">
        <f t="shared" si="12"/>
        <v>20349.809049999996</v>
      </c>
    </row>
    <row r="48" spans="1:13" s="163" customFormat="1" ht="36" customHeight="1" x14ac:dyDescent="0.35">
      <c r="A48" s="56"/>
      <c r="B48" s="610" t="s">
        <v>466</v>
      </c>
      <c r="C48" s="68" t="s">
        <v>1</v>
      </c>
      <c r="D48" s="55" t="s">
        <v>36</v>
      </c>
      <c r="E48" s="55" t="s">
        <v>65</v>
      </c>
      <c r="F48" s="799" t="s">
        <v>66</v>
      </c>
      <c r="G48" s="800" t="s">
        <v>41</v>
      </c>
      <c r="H48" s="800" t="s">
        <v>42</v>
      </c>
      <c r="I48" s="801" t="s">
        <v>43</v>
      </c>
      <c r="J48" s="55"/>
      <c r="K48" s="69">
        <f t="shared" si="12"/>
        <v>21322.409049999995</v>
      </c>
      <c r="L48" s="69">
        <f t="shared" si="12"/>
        <v>-972.59999999999854</v>
      </c>
      <c r="M48" s="69">
        <f t="shared" si="12"/>
        <v>20349.809049999996</v>
      </c>
    </row>
    <row r="49" spans="1:13" s="163" customFormat="1" ht="18" customHeight="1" x14ac:dyDescent="0.35">
      <c r="A49" s="56"/>
      <c r="B49" s="642" t="s">
        <v>467</v>
      </c>
      <c r="C49" s="68" t="s">
        <v>1</v>
      </c>
      <c r="D49" s="55" t="s">
        <v>36</v>
      </c>
      <c r="E49" s="55" t="s">
        <v>65</v>
      </c>
      <c r="F49" s="799" t="s">
        <v>66</v>
      </c>
      <c r="G49" s="800" t="s">
        <v>44</v>
      </c>
      <c r="H49" s="800" t="s">
        <v>42</v>
      </c>
      <c r="I49" s="801" t="s">
        <v>43</v>
      </c>
      <c r="J49" s="55"/>
      <c r="K49" s="69">
        <f t="shared" ref="K49:M50" si="13">K50</f>
        <v>21322.409049999995</v>
      </c>
      <c r="L49" s="69">
        <f t="shared" si="13"/>
        <v>-972.59999999999854</v>
      </c>
      <c r="M49" s="69">
        <f t="shared" si="13"/>
        <v>20349.809049999996</v>
      </c>
    </row>
    <row r="50" spans="1:13" s="163" customFormat="1" ht="36" customHeight="1" x14ac:dyDescent="0.35">
      <c r="A50" s="56"/>
      <c r="B50" s="610" t="s">
        <v>465</v>
      </c>
      <c r="C50" s="68" t="s">
        <v>1</v>
      </c>
      <c r="D50" s="55" t="s">
        <v>36</v>
      </c>
      <c r="E50" s="55" t="s">
        <v>65</v>
      </c>
      <c r="F50" s="799" t="s">
        <v>66</v>
      </c>
      <c r="G50" s="800" t="s">
        <v>44</v>
      </c>
      <c r="H50" s="800" t="s">
        <v>42</v>
      </c>
      <c r="I50" s="801" t="s">
        <v>67</v>
      </c>
      <c r="J50" s="55"/>
      <c r="K50" s="69">
        <f t="shared" si="13"/>
        <v>21322.409049999995</v>
      </c>
      <c r="L50" s="69">
        <f t="shared" si="13"/>
        <v>-972.59999999999854</v>
      </c>
      <c r="M50" s="69">
        <f t="shared" si="13"/>
        <v>20349.809049999996</v>
      </c>
    </row>
    <row r="51" spans="1:13" s="163" customFormat="1" ht="18" customHeight="1" x14ac:dyDescent="0.35">
      <c r="A51" s="56"/>
      <c r="B51" s="610" t="s">
        <v>55</v>
      </c>
      <c r="C51" s="68" t="s">
        <v>1</v>
      </c>
      <c r="D51" s="55" t="s">
        <v>36</v>
      </c>
      <c r="E51" s="55" t="s">
        <v>65</v>
      </c>
      <c r="F51" s="799" t="s">
        <v>66</v>
      </c>
      <c r="G51" s="800" t="s">
        <v>44</v>
      </c>
      <c r="H51" s="800" t="s">
        <v>42</v>
      </c>
      <c r="I51" s="801" t="s">
        <v>67</v>
      </c>
      <c r="J51" s="55" t="s">
        <v>56</v>
      </c>
      <c r="K51" s="69">
        <f>36721.5+549+494.7-36-21002.2+4595.4+0.00905</f>
        <v>21322.409049999995</v>
      </c>
      <c r="L51" s="69">
        <f>M51-K51</f>
        <v>-972.59999999999854</v>
      </c>
      <c r="M51" s="69">
        <f>36721.5+549+494.7-36-21002.2+4595.4+0.00905-972.6</f>
        <v>20349.809049999996</v>
      </c>
    </row>
    <row r="52" spans="1:13" s="163" customFormat="1" ht="18" customHeight="1" x14ac:dyDescent="0.35">
      <c r="A52" s="56"/>
      <c r="B52" s="610" t="s">
        <v>68</v>
      </c>
      <c r="C52" s="68" t="s">
        <v>1</v>
      </c>
      <c r="D52" s="55" t="s">
        <v>36</v>
      </c>
      <c r="E52" s="55" t="s">
        <v>69</v>
      </c>
      <c r="F52" s="799"/>
      <c r="G52" s="800"/>
      <c r="H52" s="800"/>
      <c r="I52" s="801"/>
      <c r="J52" s="55"/>
      <c r="K52" s="69">
        <f>K63+K58</f>
        <v>67926.883399999992</v>
      </c>
      <c r="L52" s="69">
        <f>L63+L58+L87+L53</f>
        <v>7759.7000000000025</v>
      </c>
      <c r="M52" s="69">
        <f>M63+M58+M87+M53</f>
        <v>75686.583399999989</v>
      </c>
    </row>
    <row r="53" spans="1:13" s="163" customFormat="1" ht="72" x14ac:dyDescent="0.35">
      <c r="A53" s="56"/>
      <c r="B53" s="696" t="s">
        <v>352</v>
      </c>
      <c r="C53" s="68" t="s">
        <v>1</v>
      </c>
      <c r="D53" s="55" t="s">
        <v>36</v>
      </c>
      <c r="E53" s="55" t="s">
        <v>69</v>
      </c>
      <c r="F53" s="799" t="s">
        <v>102</v>
      </c>
      <c r="G53" s="800" t="s">
        <v>41</v>
      </c>
      <c r="H53" s="800" t="s">
        <v>42</v>
      </c>
      <c r="I53" s="801" t="s">
        <v>43</v>
      </c>
      <c r="J53" s="55"/>
      <c r="K53" s="69"/>
      <c r="L53" s="69">
        <f t="shared" ref="L53:M56" si="14">L54</f>
        <v>144</v>
      </c>
      <c r="M53" s="69">
        <f t="shared" si="14"/>
        <v>144</v>
      </c>
    </row>
    <row r="54" spans="1:13" s="163" customFormat="1" ht="36" x14ac:dyDescent="0.35">
      <c r="A54" s="56"/>
      <c r="B54" s="696" t="s">
        <v>752</v>
      </c>
      <c r="C54" s="68" t="s">
        <v>1</v>
      </c>
      <c r="D54" s="55" t="s">
        <v>36</v>
      </c>
      <c r="E54" s="55" t="s">
        <v>69</v>
      </c>
      <c r="F54" s="799" t="s">
        <v>102</v>
      </c>
      <c r="G54" s="800" t="s">
        <v>694</v>
      </c>
      <c r="H54" s="800" t="s">
        <v>42</v>
      </c>
      <c r="I54" s="801" t="s">
        <v>43</v>
      </c>
      <c r="J54" s="55"/>
      <c r="K54" s="69"/>
      <c r="L54" s="69">
        <f t="shared" si="14"/>
        <v>144</v>
      </c>
      <c r="M54" s="69">
        <f t="shared" si="14"/>
        <v>144</v>
      </c>
    </row>
    <row r="55" spans="1:13" s="163" customFormat="1" ht="36" x14ac:dyDescent="0.35">
      <c r="A55" s="56"/>
      <c r="B55" s="696" t="s">
        <v>753</v>
      </c>
      <c r="C55" s="68" t="s">
        <v>1</v>
      </c>
      <c r="D55" s="55" t="s">
        <v>36</v>
      </c>
      <c r="E55" s="55" t="s">
        <v>69</v>
      </c>
      <c r="F55" s="799" t="s">
        <v>102</v>
      </c>
      <c r="G55" s="800" t="s">
        <v>694</v>
      </c>
      <c r="H55" s="800" t="s">
        <v>36</v>
      </c>
      <c r="I55" s="801" t="s">
        <v>43</v>
      </c>
      <c r="J55" s="55"/>
      <c r="K55" s="69"/>
      <c r="L55" s="69">
        <f t="shared" si="14"/>
        <v>144</v>
      </c>
      <c r="M55" s="69">
        <f t="shared" si="14"/>
        <v>144</v>
      </c>
    </row>
    <row r="56" spans="1:13" s="163" customFormat="1" ht="72" x14ac:dyDescent="0.35">
      <c r="A56" s="56"/>
      <c r="B56" s="696" t="s">
        <v>754</v>
      </c>
      <c r="C56" s="68" t="s">
        <v>1</v>
      </c>
      <c r="D56" s="55" t="s">
        <v>36</v>
      </c>
      <c r="E56" s="55" t="s">
        <v>69</v>
      </c>
      <c r="F56" s="799" t="s">
        <v>102</v>
      </c>
      <c r="G56" s="800" t="s">
        <v>694</v>
      </c>
      <c r="H56" s="800" t="s">
        <v>36</v>
      </c>
      <c r="I56" s="801" t="s">
        <v>755</v>
      </c>
      <c r="J56" s="55"/>
      <c r="K56" s="69"/>
      <c r="L56" s="69">
        <f t="shared" si="14"/>
        <v>144</v>
      </c>
      <c r="M56" s="69">
        <f t="shared" si="14"/>
        <v>144</v>
      </c>
    </row>
    <row r="57" spans="1:13" s="163" customFormat="1" ht="54" x14ac:dyDescent="0.35">
      <c r="A57" s="56"/>
      <c r="B57" s="696" t="s">
        <v>53</v>
      </c>
      <c r="C57" s="68" t="s">
        <v>1</v>
      </c>
      <c r="D57" s="55" t="s">
        <v>36</v>
      </c>
      <c r="E57" s="55" t="s">
        <v>69</v>
      </c>
      <c r="F57" s="799" t="s">
        <v>102</v>
      </c>
      <c r="G57" s="800" t="s">
        <v>694</v>
      </c>
      <c r="H57" s="800" t="s">
        <v>36</v>
      </c>
      <c r="I57" s="801" t="s">
        <v>755</v>
      </c>
      <c r="J57" s="55" t="s">
        <v>54</v>
      </c>
      <c r="K57" s="69"/>
      <c r="L57" s="69">
        <f>M57-K57</f>
        <v>144</v>
      </c>
      <c r="M57" s="69">
        <v>144</v>
      </c>
    </row>
    <row r="58" spans="1:13" s="163" customFormat="1" ht="72" customHeight="1" x14ac:dyDescent="0.35">
      <c r="A58" s="56"/>
      <c r="B58" s="610" t="s">
        <v>70</v>
      </c>
      <c r="C58" s="68" t="s">
        <v>1</v>
      </c>
      <c r="D58" s="55" t="s">
        <v>36</v>
      </c>
      <c r="E58" s="55" t="s">
        <v>69</v>
      </c>
      <c r="F58" s="799" t="s">
        <v>71</v>
      </c>
      <c r="G58" s="800" t="s">
        <v>41</v>
      </c>
      <c r="H58" s="800" t="s">
        <v>42</v>
      </c>
      <c r="I58" s="801" t="s">
        <v>43</v>
      </c>
      <c r="J58" s="55"/>
      <c r="K58" s="69">
        <f t="shared" ref="K58:M61" si="15">K59</f>
        <v>422.4</v>
      </c>
      <c r="L58" s="69">
        <f t="shared" si="15"/>
        <v>0</v>
      </c>
      <c r="M58" s="69">
        <f t="shared" si="15"/>
        <v>422.4</v>
      </c>
    </row>
    <row r="59" spans="1:13" s="163" customFormat="1" ht="36" customHeight="1" x14ac:dyDescent="0.35">
      <c r="A59" s="56"/>
      <c r="B59" s="610" t="s">
        <v>359</v>
      </c>
      <c r="C59" s="68" t="s">
        <v>1</v>
      </c>
      <c r="D59" s="55" t="s">
        <v>36</v>
      </c>
      <c r="E59" s="55" t="s">
        <v>69</v>
      </c>
      <c r="F59" s="799" t="s">
        <v>71</v>
      </c>
      <c r="G59" s="800" t="s">
        <v>44</v>
      </c>
      <c r="H59" s="800" t="s">
        <v>42</v>
      </c>
      <c r="I59" s="801" t="s">
        <v>43</v>
      </c>
      <c r="J59" s="55"/>
      <c r="K59" s="69">
        <f t="shared" si="15"/>
        <v>422.4</v>
      </c>
      <c r="L59" s="69">
        <f t="shared" si="15"/>
        <v>0</v>
      </c>
      <c r="M59" s="69">
        <f t="shared" si="15"/>
        <v>422.4</v>
      </c>
    </row>
    <row r="60" spans="1:13" s="163" customFormat="1" ht="54" customHeight="1" x14ac:dyDescent="0.35">
      <c r="A60" s="56"/>
      <c r="B60" s="642" t="s">
        <v>280</v>
      </c>
      <c r="C60" s="68" t="s">
        <v>1</v>
      </c>
      <c r="D60" s="55" t="s">
        <v>36</v>
      </c>
      <c r="E60" s="55" t="s">
        <v>69</v>
      </c>
      <c r="F60" s="799" t="s">
        <v>71</v>
      </c>
      <c r="G60" s="800" t="s">
        <v>44</v>
      </c>
      <c r="H60" s="800" t="s">
        <v>36</v>
      </c>
      <c r="I60" s="801" t="s">
        <v>43</v>
      </c>
      <c r="J60" s="55"/>
      <c r="K60" s="69">
        <f t="shared" si="15"/>
        <v>422.4</v>
      </c>
      <c r="L60" s="69">
        <f t="shared" si="15"/>
        <v>0</v>
      </c>
      <c r="M60" s="69">
        <f t="shared" si="15"/>
        <v>422.4</v>
      </c>
    </row>
    <row r="61" spans="1:13" s="163" customFormat="1" ht="54" customHeight="1" x14ac:dyDescent="0.35">
      <c r="A61" s="56"/>
      <c r="B61" s="642" t="s">
        <v>72</v>
      </c>
      <c r="C61" s="68" t="s">
        <v>1</v>
      </c>
      <c r="D61" s="55" t="s">
        <v>36</v>
      </c>
      <c r="E61" s="55" t="s">
        <v>69</v>
      </c>
      <c r="F61" s="799" t="s">
        <v>71</v>
      </c>
      <c r="G61" s="800" t="s">
        <v>44</v>
      </c>
      <c r="H61" s="800" t="s">
        <v>36</v>
      </c>
      <c r="I61" s="801" t="s">
        <v>73</v>
      </c>
      <c r="J61" s="55"/>
      <c r="K61" s="69">
        <f>K62</f>
        <v>422.4</v>
      </c>
      <c r="L61" s="69">
        <f t="shared" si="15"/>
        <v>0</v>
      </c>
      <c r="M61" s="69">
        <f>M62</f>
        <v>422.4</v>
      </c>
    </row>
    <row r="62" spans="1:13" s="163" customFormat="1" ht="54" customHeight="1" x14ac:dyDescent="0.35">
      <c r="A62" s="56"/>
      <c r="B62" s="617" t="s">
        <v>74</v>
      </c>
      <c r="C62" s="68" t="s">
        <v>1</v>
      </c>
      <c r="D62" s="55" t="s">
        <v>36</v>
      </c>
      <c r="E62" s="55" t="s">
        <v>69</v>
      </c>
      <c r="F62" s="799" t="s">
        <v>71</v>
      </c>
      <c r="G62" s="800" t="s">
        <v>44</v>
      </c>
      <c r="H62" s="800" t="s">
        <v>36</v>
      </c>
      <c r="I62" s="801" t="s">
        <v>73</v>
      </c>
      <c r="J62" s="55" t="s">
        <v>75</v>
      </c>
      <c r="K62" s="69">
        <v>422.4</v>
      </c>
      <c r="L62" s="69">
        <f>M62-K62</f>
        <v>0</v>
      </c>
      <c r="M62" s="69">
        <v>422.4</v>
      </c>
    </row>
    <row r="63" spans="1:13" s="163" customFormat="1" ht="54" customHeight="1" x14ac:dyDescent="0.35">
      <c r="A63" s="56"/>
      <c r="B63" s="610" t="s">
        <v>39</v>
      </c>
      <c r="C63" s="68" t="s">
        <v>1</v>
      </c>
      <c r="D63" s="55" t="s">
        <v>36</v>
      </c>
      <c r="E63" s="55" t="s">
        <v>69</v>
      </c>
      <c r="F63" s="799" t="s">
        <v>40</v>
      </c>
      <c r="G63" s="800" t="s">
        <v>41</v>
      </c>
      <c r="H63" s="800" t="s">
        <v>42</v>
      </c>
      <c r="I63" s="801" t="s">
        <v>43</v>
      </c>
      <c r="J63" s="55"/>
      <c r="K63" s="69">
        <f>K64</f>
        <v>67504.483399999997</v>
      </c>
      <c r="L63" s="69">
        <f t="shared" ref="L63" si="16">L64</f>
        <v>360.70000000000255</v>
      </c>
      <c r="M63" s="69">
        <f>M64</f>
        <v>67865.183399999994</v>
      </c>
    </row>
    <row r="64" spans="1:13" s="163" customFormat="1" ht="36" customHeight="1" x14ac:dyDescent="0.35">
      <c r="A64" s="56"/>
      <c r="B64" s="610" t="s">
        <v>359</v>
      </c>
      <c r="C64" s="68" t="s">
        <v>1</v>
      </c>
      <c r="D64" s="55" t="s">
        <v>36</v>
      </c>
      <c r="E64" s="55" t="s">
        <v>69</v>
      </c>
      <c r="F64" s="799" t="s">
        <v>40</v>
      </c>
      <c r="G64" s="800" t="s">
        <v>44</v>
      </c>
      <c r="H64" s="800" t="s">
        <v>42</v>
      </c>
      <c r="I64" s="801" t="s">
        <v>43</v>
      </c>
      <c r="J64" s="55"/>
      <c r="K64" s="69">
        <f>K65+K72+K68+K80+K77</f>
        <v>67504.483399999997</v>
      </c>
      <c r="L64" s="69">
        <f>L65+L72+L68+L80+L77</f>
        <v>360.70000000000255</v>
      </c>
      <c r="M64" s="69">
        <f>M65+M72+M68+M80+M77</f>
        <v>67865.183399999994</v>
      </c>
    </row>
    <row r="65" spans="1:13" s="163" customFormat="1" ht="36" customHeight="1" x14ac:dyDescent="0.35">
      <c r="A65" s="56"/>
      <c r="B65" s="610" t="s">
        <v>52</v>
      </c>
      <c r="C65" s="68" t="s">
        <v>1</v>
      </c>
      <c r="D65" s="55" t="s">
        <v>36</v>
      </c>
      <c r="E65" s="55" t="s">
        <v>69</v>
      </c>
      <c r="F65" s="799" t="s">
        <v>40</v>
      </c>
      <c r="G65" s="800" t="s">
        <v>44</v>
      </c>
      <c r="H65" s="800" t="s">
        <v>38</v>
      </c>
      <c r="I65" s="801" t="s">
        <v>43</v>
      </c>
      <c r="J65" s="55"/>
      <c r="K65" s="69">
        <f>K66</f>
        <v>63.4</v>
      </c>
      <c r="L65" s="69">
        <f t="shared" ref="L65:L66" si="17">L66</f>
        <v>0</v>
      </c>
      <c r="M65" s="69">
        <f>M66</f>
        <v>63.4</v>
      </c>
    </row>
    <row r="66" spans="1:13" s="163" customFormat="1" ht="18" x14ac:dyDescent="0.35">
      <c r="A66" s="56"/>
      <c r="B66" s="610" t="s">
        <v>641</v>
      </c>
      <c r="C66" s="68" t="s">
        <v>1</v>
      </c>
      <c r="D66" s="55" t="s">
        <v>36</v>
      </c>
      <c r="E66" s="55" t="s">
        <v>69</v>
      </c>
      <c r="F66" s="799" t="s">
        <v>40</v>
      </c>
      <c r="G66" s="800" t="s">
        <v>44</v>
      </c>
      <c r="H66" s="800" t="s">
        <v>38</v>
      </c>
      <c r="I66" s="801" t="s">
        <v>642</v>
      </c>
      <c r="J66" s="55"/>
      <c r="K66" s="69">
        <f>K67</f>
        <v>63.4</v>
      </c>
      <c r="L66" s="69">
        <f t="shared" si="17"/>
        <v>0</v>
      </c>
      <c r="M66" s="69">
        <f>M67</f>
        <v>63.4</v>
      </c>
    </row>
    <row r="67" spans="1:13" s="163" customFormat="1" ht="61.2" customHeight="1" x14ac:dyDescent="0.35">
      <c r="A67" s="56"/>
      <c r="B67" s="610" t="s">
        <v>53</v>
      </c>
      <c r="C67" s="68" t="s">
        <v>1</v>
      </c>
      <c r="D67" s="55" t="s">
        <v>36</v>
      </c>
      <c r="E67" s="55" t="s">
        <v>69</v>
      </c>
      <c r="F67" s="799" t="s">
        <v>40</v>
      </c>
      <c r="G67" s="800" t="s">
        <v>44</v>
      </c>
      <c r="H67" s="800" t="s">
        <v>38</v>
      </c>
      <c r="I67" s="801" t="s">
        <v>642</v>
      </c>
      <c r="J67" s="55" t="s">
        <v>54</v>
      </c>
      <c r="K67" s="69">
        <v>63.4</v>
      </c>
      <c r="L67" s="69">
        <f>M67-K67</f>
        <v>0</v>
      </c>
      <c r="M67" s="69">
        <v>63.4</v>
      </c>
    </row>
    <row r="68" spans="1:13" s="163" customFormat="1" ht="18" customHeight="1" x14ac:dyDescent="0.35">
      <c r="A68" s="56"/>
      <c r="B68" s="617" t="s">
        <v>60</v>
      </c>
      <c r="C68" s="68" t="s">
        <v>1</v>
      </c>
      <c r="D68" s="55" t="s">
        <v>36</v>
      </c>
      <c r="E68" s="55" t="s">
        <v>69</v>
      </c>
      <c r="F68" s="799" t="s">
        <v>40</v>
      </c>
      <c r="G68" s="800" t="s">
        <v>44</v>
      </c>
      <c r="H68" s="800" t="s">
        <v>61</v>
      </c>
      <c r="I68" s="801" t="s">
        <v>43</v>
      </c>
      <c r="J68" s="55"/>
      <c r="K68" s="69">
        <f>K69</f>
        <v>3484.1</v>
      </c>
      <c r="L68" s="69">
        <f t="shared" ref="L68" si="18">L69</f>
        <v>0</v>
      </c>
      <c r="M68" s="69">
        <f>M69</f>
        <v>3484.1</v>
      </c>
    </row>
    <row r="69" spans="1:13" s="163" customFormat="1" ht="67.5" customHeight="1" x14ac:dyDescent="0.35">
      <c r="A69" s="56"/>
      <c r="B69" s="617" t="s">
        <v>401</v>
      </c>
      <c r="C69" s="68" t="s">
        <v>1</v>
      </c>
      <c r="D69" s="55" t="s">
        <v>36</v>
      </c>
      <c r="E69" s="55" t="s">
        <v>69</v>
      </c>
      <c r="F69" s="799" t="s">
        <v>40</v>
      </c>
      <c r="G69" s="800" t="s">
        <v>44</v>
      </c>
      <c r="H69" s="800" t="s">
        <v>61</v>
      </c>
      <c r="I69" s="801" t="s">
        <v>400</v>
      </c>
      <c r="J69" s="55"/>
      <c r="K69" s="69">
        <f>K70+K71</f>
        <v>3484.1</v>
      </c>
      <c r="L69" s="69">
        <f t="shared" ref="L69" si="19">L70+L71</f>
        <v>0</v>
      </c>
      <c r="M69" s="69">
        <f>M70+M71</f>
        <v>3484.1</v>
      </c>
    </row>
    <row r="70" spans="1:13" s="163" customFormat="1" ht="54" customHeight="1" x14ac:dyDescent="0.35">
      <c r="A70" s="56"/>
      <c r="B70" s="610" t="s">
        <v>53</v>
      </c>
      <c r="C70" s="68" t="s">
        <v>1</v>
      </c>
      <c r="D70" s="55" t="s">
        <v>36</v>
      </c>
      <c r="E70" s="55" t="s">
        <v>69</v>
      </c>
      <c r="F70" s="799" t="s">
        <v>40</v>
      </c>
      <c r="G70" s="800" t="s">
        <v>44</v>
      </c>
      <c r="H70" s="800" t="s">
        <v>61</v>
      </c>
      <c r="I70" s="801" t="s">
        <v>400</v>
      </c>
      <c r="J70" s="55" t="s">
        <v>54</v>
      </c>
      <c r="K70" s="69">
        <f>2587.7+360+312.6</f>
        <v>3260.2999999999997</v>
      </c>
      <c r="L70" s="69">
        <f>M70-K70</f>
        <v>0</v>
      </c>
      <c r="M70" s="69">
        <f>2587.7+360+312.6</f>
        <v>3260.2999999999997</v>
      </c>
    </row>
    <row r="71" spans="1:13" s="163" customFormat="1" ht="18" customHeight="1" x14ac:dyDescent="0.35">
      <c r="A71" s="56"/>
      <c r="B71" s="610" t="s">
        <v>55</v>
      </c>
      <c r="C71" s="68" t="s">
        <v>1</v>
      </c>
      <c r="D71" s="55" t="s">
        <v>36</v>
      </c>
      <c r="E71" s="55" t="s">
        <v>69</v>
      </c>
      <c r="F71" s="799" t="s">
        <v>40</v>
      </c>
      <c r="G71" s="800" t="s">
        <v>44</v>
      </c>
      <c r="H71" s="800" t="s">
        <v>61</v>
      </c>
      <c r="I71" s="801" t="s">
        <v>400</v>
      </c>
      <c r="J71" s="55" t="s">
        <v>56</v>
      </c>
      <c r="K71" s="69">
        <v>223.8</v>
      </c>
      <c r="L71" s="69">
        <f>M71-K71</f>
        <v>0</v>
      </c>
      <c r="M71" s="69">
        <v>223.8</v>
      </c>
    </row>
    <row r="72" spans="1:13" s="163" customFormat="1" ht="18" customHeight="1" x14ac:dyDescent="0.35">
      <c r="A72" s="56"/>
      <c r="B72" s="610" t="s">
        <v>62</v>
      </c>
      <c r="C72" s="68" t="s">
        <v>1</v>
      </c>
      <c r="D72" s="55" t="s">
        <v>36</v>
      </c>
      <c r="E72" s="55" t="s">
        <v>69</v>
      </c>
      <c r="F72" s="799" t="s">
        <v>40</v>
      </c>
      <c r="G72" s="800" t="s">
        <v>44</v>
      </c>
      <c r="H72" s="800" t="s">
        <v>50</v>
      </c>
      <c r="I72" s="801" t="s">
        <v>43</v>
      </c>
      <c r="J72" s="55"/>
      <c r="K72" s="69">
        <f>K73+K75</f>
        <v>6919.5</v>
      </c>
      <c r="L72" s="69">
        <f t="shared" ref="L72" si="20">L73+L75</f>
        <v>207.60000000000036</v>
      </c>
      <c r="M72" s="69">
        <f>M73+M75</f>
        <v>7127.1</v>
      </c>
    </row>
    <row r="73" spans="1:13" s="163" customFormat="1" ht="69" customHeight="1" x14ac:dyDescent="0.35">
      <c r="A73" s="56"/>
      <c r="B73" s="658" t="s">
        <v>372</v>
      </c>
      <c r="C73" s="68" t="s">
        <v>1</v>
      </c>
      <c r="D73" s="55" t="s">
        <v>36</v>
      </c>
      <c r="E73" s="55" t="s">
        <v>69</v>
      </c>
      <c r="F73" s="799" t="s">
        <v>40</v>
      </c>
      <c r="G73" s="800" t="s">
        <v>44</v>
      </c>
      <c r="H73" s="800" t="s">
        <v>50</v>
      </c>
      <c r="I73" s="801" t="s">
        <v>103</v>
      </c>
      <c r="J73" s="55"/>
      <c r="K73" s="69">
        <f>K74</f>
        <v>4830.5</v>
      </c>
      <c r="L73" s="69">
        <f t="shared" ref="L73" si="21">L74</f>
        <v>207.60000000000036</v>
      </c>
      <c r="M73" s="69">
        <f>M74</f>
        <v>5038.1000000000004</v>
      </c>
    </row>
    <row r="74" spans="1:13" s="163" customFormat="1" ht="54" customHeight="1" x14ac:dyDescent="0.35">
      <c r="A74" s="56"/>
      <c r="B74" s="610" t="s">
        <v>53</v>
      </c>
      <c r="C74" s="68" t="s">
        <v>1</v>
      </c>
      <c r="D74" s="55" t="s">
        <v>36</v>
      </c>
      <c r="E74" s="55" t="s">
        <v>69</v>
      </c>
      <c r="F74" s="799" t="s">
        <v>40</v>
      </c>
      <c r="G74" s="800" t="s">
        <v>44</v>
      </c>
      <c r="H74" s="800" t="s">
        <v>50</v>
      </c>
      <c r="I74" s="801" t="s">
        <v>103</v>
      </c>
      <c r="J74" s="55" t="s">
        <v>54</v>
      </c>
      <c r="K74" s="69">
        <f>4415.4+320+95.1</f>
        <v>4830.5</v>
      </c>
      <c r="L74" s="69">
        <f>M74-K74</f>
        <v>207.60000000000036</v>
      </c>
      <c r="M74" s="69">
        <f>4415.4+320+95.1+207.6</f>
        <v>5038.1000000000004</v>
      </c>
    </row>
    <row r="75" spans="1:13" s="163" customFormat="1" ht="54" customHeight="1" x14ac:dyDescent="0.35">
      <c r="A75" s="56"/>
      <c r="B75" s="610" t="s">
        <v>374</v>
      </c>
      <c r="C75" s="68" t="s">
        <v>1</v>
      </c>
      <c r="D75" s="55" t="s">
        <v>36</v>
      </c>
      <c r="E75" s="55" t="s">
        <v>69</v>
      </c>
      <c r="F75" s="799" t="s">
        <v>40</v>
      </c>
      <c r="G75" s="800" t="s">
        <v>44</v>
      </c>
      <c r="H75" s="800" t="s">
        <v>50</v>
      </c>
      <c r="I75" s="801" t="s">
        <v>373</v>
      </c>
      <c r="J75" s="55"/>
      <c r="K75" s="69">
        <f>K76</f>
        <v>2089</v>
      </c>
      <c r="L75" s="69">
        <f t="shared" ref="L75" si="22">L76</f>
        <v>0</v>
      </c>
      <c r="M75" s="69">
        <f>M76</f>
        <v>2089</v>
      </c>
    </row>
    <row r="76" spans="1:13" s="163" customFormat="1" ht="54" customHeight="1" x14ac:dyDescent="0.35">
      <c r="A76" s="56"/>
      <c r="B76" s="610" t="s">
        <v>53</v>
      </c>
      <c r="C76" s="68" t="s">
        <v>1</v>
      </c>
      <c r="D76" s="55" t="s">
        <v>36</v>
      </c>
      <c r="E76" s="55" t="s">
        <v>69</v>
      </c>
      <c r="F76" s="799" t="s">
        <v>40</v>
      </c>
      <c r="G76" s="800" t="s">
        <v>44</v>
      </c>
      <c r="H76" s="800" t="s">
        <v>50</v>
      </c>
      <c r="I76" s="801" t="s">
        <v>373</v>
      </c>
      <c r="J76" s="55" t="s">
        <v>54</v>
      </c>
      <c r="K76" s="69">
        <f>2089</f>
        <v>2089</v>
      </c>
      <c r="L76" s="69">
        <f>M76-K76</f>
        <v>0</v>
      </c>
      <c r="M76" s="69">
        <f>2089</f>
        <v>2089</v>
      </c>
    </row>
    <row r="77" spans="1:13" s="163" customFormat="1" ht="36" x14ac:dyDescent="0.35">
      <c r="A77" s="56"/>
      <c r="B77" s="696" t="s">
        <v>395</v>
      </c>
      <c r="C77" s="68" t="s">
        <v>1</v>
      </c>
      <c r="D77" s="55" t="s">
        <v>36</v>
      </c>
      <c r="E77" s="55" t="s">
        <v>69</v>
      </c>
      <c r="F77" s="799" t="s">
        <v>40</v>
      </c>
      <c r="G77" s="800" t="s">
        <v>44</v>
      </c>
      <c r="H77" s="800" t="s">
        <v>697</v>
      </c>
      <c r="I77" s="801" t="s">
        <v>43</v>
      </c>
      <c r="J77" s="55"/>
      <c r="K77" s="69">
        <f t="shared" ref="K77:M78" si="23">K78</f>
        <v>1921.9</v>
      </c>
      <c r="L77" s="69">
        <f t="shared" si="23"/>
        <v>0</v>
      </c>
      <c r="M77" s="69">
        <f t="shared" si="23"/>
        <v>1921.9</v>
      </c>
    </row>
    <row r="78" spans="1:13" s="163" customFormat="1" ht="36" x14ac:dyDescent="0.35">
      <c r="A78" s="56"/>
      <c r="B78" s="696" t="s">
        <v>357</v>
      </c>
      <c r="C78" s="68" t="s">
        <v>1</v>
      </c>
      <c r="D78" s="55" t="s">
        <v>36</v>
      </c>
      <c r="E78" s="55" t="s">
        <v>69</v>
      </c>
      <c r="F78" s="799" t="s">
        <v>40</v>
      </c>
      <c r="G78" s="800" t="s">
        <v>44</v>
      </c>
      <c r="H78" s="800" t="s">
        <v>697</v>
      </c>
      <c r="I78" s="801" t="s">
        <v>356</v>
      </c>
      <c r="J78" s="55"/>
      <c r="K78" s="69">
        <f t="shared" si="23"/>
        <v>1921.9</v>
      </c>
      <c r="L78" s="69">
        <f t="shared" si="23"/>
        <v>0</v>
      </c>
      <c r="M78" s="69">
        <f t="shared" si="23"/>
        <v>1921.9</v>
      </c>
    </row>
    <row r="79" spans="1:13" s="163" customFormat="1" ht="18" x14ac:dyDescent="0.35">
      <c r="A79" s="56"/>
      <c r="B79" s="610" t="s">
        <v>55</v>
      </c>
      <c r="C79" s="68" t="s">
        <v>1</v>
      </c>
      <c r="D79" s="55" t="s">
        <v>36</v>
      </c>
      <c r="E79" s="55" t="s">
        <v>69</v>
      </c>
      <c r="F79" s="799" t="s">
        <v>40</v>
      </c>
      <c r="G79" s="800" t="s">
        <v>44</v>
      </c>
      <c r="H79" s="800" t="s">
        <v>697</v>
      </c>
      <c r="I79" s="801" t="s">
        <v>356</v>
      </c>
      <c r="J79" s="55" t="s">
        <v>56</v>
      </c>
      <c r="K79" s="69">
        <v>1921.9</v>
      </c>
      <c r="L79" s="69">
        <f>M79-K79</f>
        <v>0</v>
      </c>
      <c r="M79" s="69">
        <v>1921.9</v>
      </c>
    </row>
    <row r="80" spans="1:13" s="163" customFormat="1" ht="100.5" customHeight="1" x14ac:dyDescent="0.35">
      <c r="A80" s="56"/>
      <c r="B80" s="610" t="s">
        <v>579</v>
      </c>
      <c r="C80" s="68" t="s">
        <v>1</v>
      </c>
      <c r="D80" s="55" t="s">
        <v>36</v>
      </c>
      <c r="E80" s="55" t="s">
        <v>69</v>
      </c>
      <c r="F80" s="799" t="s">
        <v>40</v>
      </c>
      <c r="G80" s="800" t="s">
        <v>44</v>
      </c>
      <c r="H80" s="800" t="s">
        <v>577</v>
      </c>
      <c r="I80" s="801" t="s">
        <v>43</v>
      </c>
      <c r="J80" s="55"/>
      <c r="K80" s="69">
        <f>K81+K85</f>
        <v>55115.583399999996</v>
      </c>
      <c r="L80" s="69">
        <f>L81+L85</f>
        <v>153.10000000000218</v>
      </c>
      <c r="M80" s="69">
        <f>M81+M85</f>
        <v>55268.683400000002</v>
      </c>
    </row>
    <row r="81" spans="1:13" s="163" customFormat="1" ht="36" customHeight="1" x14ac:dyDescent="0.35">
      <c r="A81" s="56"/>
      <c r="B81" s="642" t="s">
        <v>484</v>
      </c>
      <c r="C81" s="68" t="s">
        <v>1</v>
      </c>
      <c r="D81" s="55" t="s">
        <v>36</v>
      </c>
      <c r="E81" s="55" t="s">
        <v>69</v>
      </c>
      <c r="F81" s="799" t="s">
        <v>40</v>
      </c>
      <c r="G81" s="800" t="s">
        <v>44</v>
      </c>
      <c r="H81" s="800" t="s">
        <v>577</v>
      </c>
      <c r="I81" s="801" t="s">
        <v>89</v>
      </c>
      <c r="J81" s="55"/>
      <c r="K81" s="69">
        <f>SUM(K82:K84)</f>
        <v>50115.583399999996</v>
      </c>
      <c r="L81" s="69">
        <f>SUM(L82:L84)</f>
        <v>153.10000000000218</v>
      </c>
      <c r="M81" s="69">
        <f>SUM(M82:M84)</f>
        <v>50268.683400000002</v>
      </c>
    </row>
    <row r="82" spans="1:13" s="163" customFormat="1" ht="108" customHeight="1" x14ac:dyDescent="0.35">
      <c r="A82" s="56"/>
      <c r="B82" s="610" t="s">
        <v>48</v>
      </c>
      <c r="C82" s="68" t="s">
        <v>1</v>
      </c>
      <c r="D82" s="55" t="s">
        <v>36</v>
      </c>
      <c r="E82" s="55" t="s">
        <v>69</v>
      </c>
      <c r="F82" s="799" t="s">
        <v>40</v>
      </c>
      <c r="G82" s="800" t="s">
        <v>44</v>
      </c>
      <c r="H82" s="800" t="s">
        <v>577</v>
      </c>
      <c r="I82" s="801" t="s">
        <v>89</v>
      </c>
      <c r="J82" s="55" t="s">
        <v>49</v>
      </c>
      <c r="K82" s="69">
        <f>34656.6+209.2+286.4+1782.6+335.5</f>
        <v>37270.299999999996</v>
      </c>
      <c r="L82" s="69">
        <f>M82-K82</f>
        <v>10.900000000001455</v>
      </c>
      <c r="M82" s="69">
        <f>34656.6+209.2+286.4+1782.6+335.5+10.9</f>
        <v>37281.199999999997</v>
      </c>
    </row>
    <row r="83" spans="1:13" s="163" customFormat="1" ht="54" customHeight="1" x14ac:dyDescent="0.35">
      <c r="A83" s="56"/>
      <c r="B83" s="610" t="s">
        <v>53</v>
      </c>
      <c r="C83" s="68" t="s">
        <v>1</v>
      </c>
      <c r="D83" s="55" t="s">
        <v>36</v>
      </c>
      <c r="E83" s="55" t="s">
        <v>69</v>
      </c>
      <c r="F83" s="799" t="s">
        <v>40</v>
      </c>
      <c r="G83" s="800" t="s">
        <v>44</v>
      </c>
      <c r="H83" s="800" t="s">
        <v>577</v>
      </c>
      <c r="I83" s="801" t="s">
        <v>89</v>
      </c>
      <c r="J83" s="55" t="s">
        <v>54</v>
      </c>
      <c r="K83" s="69">
        <f>8362.6+115.5+504+2000+0.1834+440.1+1225.7+109.3</f>
        <v>12757.383400000001</v>
      </c>
      <c r="L83" s="69">
        <f>M83-K83</f>
        <v>142.20000000000073</v>
      </c>
      <c r="M83" s="69">
        <f>8362.6+115.5+504+2000+0.1834+440.1+1225.7+109.3+56.7+85.5</f>
        <v>12899.583400000001</v>
      </c>
    </row>
    <row r="84" spans="1:13" s="163" customFormat="1" ht="18" customHeight="1" x14ac:dyDescent="0.35">
      <c r="A84" s="56"/>
      <c r="B84" s="610" t="s">
        <v>55</v>
      </c>
      <c r="C84" s="68" t="s">
        <v>1</v>
      </c>
      <c r="D84" s="55" t="s">
        <v>36</v>
      </c>
      <c r="E84" s="55" t="s">
        <v>69</v>
      </c>
      <c r="F84" s="799" t="s">
        <v>40</v>
      </c>
      <c r="G84" s="800" t="s">
        <v>44</v>
      </c>
      <c r="H84" s="800" t="s">
        <v>577</v>
      </c>
      <c r="I84" s="801" t="s">
        <v>89</v>
      </c>
      <c r="J84" s="55" t="s">
        <v>56</v>
      </c>
      <c r="K84" s="69">
        <v>87.9</v>
      </c>
      <c r="L84" s="69">
        <f>M84-K84</f>
        <v>0</v>
      </c>
      <c r="M84" s="69">
        <v>87.9</v>
      </c>
    </row>
    <row r="85" spans="1:13" s="163" customFormat="1" ht="18" customHeight="1" x14ac:dyDescent="0.35">
      <c r="A85" s="56"/>
      <c r="B85" s="610" t="s">
        <v>485</v>
      </c>
      <c r="C85" s="68" t="s">
        <v>1</v>
      </c>
      <c r="D85" s="55" t="s">
        <v>36</v>
      </c>
      <c r="E85" s="55" t="s">
        <v>69</v>
      </c>
      <c r="F85" s="799" t="s">
        <v>40</v>
      </c>
      <c r="G85" s="800" t="s">
        <v>44</v>
      </c>
      <c r="H85" s="800" t="s">
        <v>577</v>
      </c>
      <c r="I85" s="801" t="s">
        <v>402</v>
      </c>
      <c r="J85" s="55"/>
      <c r="K85" s="69">
        <f>K86</f>
        <v>5000</v>
      </c>
      <c r="L85" s="69">
        <f>L86</f>
        <v>0</v>
      </c>
      <c r="M85" s="69">
        <f>M86</f>
        <v>5000</v>
      </c>
    </row>
    <row r="86" spans="1:13" s="163" customFormat="1" ht="54" x14ac:dyDescent="0.35">
      <c r="A86" s="56"/>
      <c r="B86" s="610" t="s">
        <v>53</v>
      </c>
      <c r="C86" s="68" t="s">
        <v>1</v>
      </c>
      <c r="D86" s="55" t="s">
        <v>36</v>
      </c>
      <c r="E86" s="55" t="s">
        <v>69</v>
      </c>
      <c r="F86" s="799" t="s">
        <v>40</v>
      </c>
      <c r="G86" s="800" t="s">
        <v>44</v>
      </c>
      <c r="H86" s="800" t="s">
        <v>577</v>
      </c>
      <c r="I86" s="801" t="s">
        <v>402</v>
      </c>
      <c r="J86" s="55" t="s">
        <v>54</v>
      </c>
      <c r="K86" s="69">
        <v>5000</v>
      </c>
      <c r="L86" s="69">
        <f>M86-K86</f>
        <v>0</v>
      </c>
      <c r="M86" s="69">
        <v>5000</v>
      </c>
    </row>
    <row r="87" spans="1:13" s="163" customFormat="1" ht="36" x14ac:dyDescent="0.35">
      <c r="A87" s="56"/>
      <c r="B87" s="696" t="s">
        <v>466</v>
      </c>
      <c r="C87" s="68" t="s">
        <v>1</v>
      </c>
      <c r="D87" s="55" t="s">
        <v>36</v>
      </c>
      <c r="E87" s="55" t="s">
        <v>69</v>
      </c>
      <c r="F87" s="799" t="s">
        <v>66</v>
      </c>
      <c r="G87" s="800" t="s">
        <v>41</v>
      </c>
      <c r="H87" s="800" t="s">
        <v>42</v>
      </c>
      <c r="I87" s="801" t="s">
        <v>43</v>
      </c>
      <c r="J87" s="55"/>
      <c r="K87" s="69"/>
      <c r="L87" s="69">
        <f t="shared" ref="L87:M89" si="24">L88</f>
        <v>7255</v>
      </c>
      <c r="M87" s="69">
        <f t="shared" si="24"/>
        <v>7255</v>
      </c>
    </row>
    <row r="88" spans="1:13" s="163" customFormat="1" ht="18" x14ac:dyDescent="0.35">
      <c r="A88" s="56"/>
      <c r="B88" s="696" t="s">
        <v>467</v>
      </c>
      <c r="C88" s="68" t="s">
        <v>1</v>
      </c>
      <c r="D88" s="55" t="s">
        <v>36</v>
      </c>
      <c r="E88" s="55" t="s">
        <v>69</v>
      </c>
      <c r="F88" s="799" t="s">
        <v>66</v>
      </c>
      <c r="G88" s="800" t="s">
        <v>44</v>
      </c>
      <c r="H88" s="800" t="s">
        <v>42</v>
      </c>
      <c r="I88" s="801" t="s">
        <v>43</v>
      </c>
      <c r="J88" s="55"/>
      <c r="K88" s="69"/>
      <c r="L88" s="69">
        <f t="shared" si="24"/>
        <v>7255</v>
      </c>
      <c r="M88" s="69">
        <f t="shared" si="24"/>
        <v>7255</v>
      </c>
    </row>
    <row r="89" spans="1:13" s="163" customFormat="1" ht="36" x14ac:dyDescent="0.35">
      <c r="A89" s="56"/>
      <c r="B89" s="610" t="s">
        <v>724</v>
      </c>
      <c r="C89" s="68" t="s">
        <v>1</v>
      </c>
      <c r="D89" s="55" t="s">
        <v>36</v>
      </c>
      <c r="E89" s="55" t="s">
        <v>69</v>
      </c>
      <c r="F89" s="799" t="s">
        <v>66</v>
      </c>
      <c r="G89" s="800" t="s">
        <v>44</v>
      </c>
      <c r="H89" s="800" t="s">
        <v>42</v>
      </c>
      <c r="I89" s="801" t="s">
        <v>725</v>
      </c>
      <c r="J89" s="55"/>
      <c r="K89" s="69"/>
      <c r="L89" s="69">
        <f t="shared" si="24"/>
        <v>7255</v>
      </c>
      <c r="M89" s="69">
        <f t="shared" si="24"/>
        <v>7255</v>
      </c>
    </row>
    <row r="90" spans="1:13" s="163" customFormat="1" ht="54" x14ac:dyDescent="0.35">
      <c r="A90" s="56"/>
      <c r="B90" s="610" t="s">
        <v>53</v>
      </c>
      <c r="C90" s="68" t="s">
        <v>1</v>
      </c>
      <c r="D90" s="55" t="s">
        <v>36</v>
      </c>
      <c r="E90" s="55" t="s">
        <v>69</v>
      </c>
      <c r="F90" s="799" t="s">
        <v>66</v>
      </c>
      <c r="G90" s="800" t="s">
        <v>44</v>
      </c>
      <c r="H90" s="800" t="s">
        <v>42</v>
      </c>
      <c r="I90" s="801" t="s">
        <v>725</v>
      </c>
      <c r="J90" s="55" t="s">
        <v>54</v>
      </c>
      <c r="K90" s="69"/>
      <c r="L90" s="69">
        <f>M90-K90</f>
        <v>7255</v>
      </c>
      <c r="M90" s="69">
        <v>7255</v>
      </c>
    </row>
    <row r="91" spans="1:13" s="163" customFormat="1" ht="36" customHeight="1" x14ac:dyDescent="0.35">
      <c r="A91" s="56"/>
      <c r="B91" s="610" t="s">
        <v>76</v>
      </c>
      <c r="C91" s="68" t="s">
        <v>1</v>
      </c>
      <c r="D91" s="55" t="s">
        <v>61</v>
      </c>
      <c r="E91" s="55"/>
      <c r="F91" s="799"/>
      <c r="G91" s="800"/>
      <c r="H91" s="800"/>
      <c r="I91" s="801"/>
      <c r="J91" s="55"/>
      <c r="K91" s="69">
        <f>K92+K104</f>
        <v>25632.83913</v>
      </c>
      <c r="L91" s="69">
        <f t="shared" ref="L91" si="25">L92+L104</f>
        <v>0</v>
      </c>
      <c r="M91" s="69">
        <f>M92+M104</f>
        <v>25632.83913</v>
      </c>
    </row>
    <row r="92" spans="1:13" s="163" customFormat="1" ht="72" customHeight="1" x14ac:dyDescent="0.35">
      <c r="A92" s="56"/>
      <c r="B92" s="610" t="s">
        <v>482</v>
      </c>
      <c r="C92" s="68" t="s">
        <v>1</v>
      </c>
      <c r="D92" s="55" t="s">
        <v>61</v>
      </c>
      <c r="E92" s="55" t="s">
        <v>102</v>
      </c>
      <c r="F92" s="799"/>
      <c r="G92" s="800"/>
      <c r="H92" s="800"/>
      <c r="I92" s="801"/>
      <c r="J92" s="55"/>
      <c r="K92" s="69">
        <f t="shared" ref="K92:M94" si="26">K93</f>
        <v>11531.6</v>
      </c>
      <c r="L92" s="69">
        <f t="shared" si="26"/>
        <v>0</v>
      </c>
      <c r="M92" s="69">
        <f t="shared" si="26"/>
        <v>11531.6</v>
      </c>
    </row>
    <row r="93" spans="1:13" s="163" customFormat="1" ht="54" customHeight="1" x14ac:dyDescent="0.35">
      <c r="A93" s="56"/>
      <c r="B93" s="610" t="s">
        <v>78</v>
      </c>
      <c r="C93" s="68" t="s">
        <v>1</v>
      </c>
      <c r="D93" s="55" t="s">
        <v>61</v>
      </c>
      <c r="E93" s="55" t="s">
        <v>102</v>
      </c>
      <c r="F93" s="799" t="s">
        <v>79</v>
      </c>
      <c r="G93" s="800" t="s">
        <v>41</v>
      </c>
      <c r="H93" s="800" t="s">
        <v>42</v>
      </c>
      <c r="I93" s="801" t="s">
        <v>43</v>
      </c>
      <c r="J93" s="55"/>
      <c r="K93" s="69">
        <f t="shared" si="26"/>
        <v>11531.6</v>
      </c>
      <c r="L93" s="69">
        <f t="shared" si="26"/>
        <v>0</v>
      </c>
      <c r="M93" s="69">
        <f t="shared" si="26"/>
        <v>11531.6</v>
      </c>
    </row>
    <row r="94" spans="1:13" s="163" customFormat="1" ht="54" customHeight="1" x14ac:dyDescent="0.35">
      <c r="A94" s="56"/>
      <c r="B94" s="659" t="s">
        <v>80</v>
      </c>
      <c r="C94" s="68" t="s">
        <v>1</v>
      </c>
      <c r="D94" s="55" t="s">
        <v>61</v>
      </c>
      <c r="E94" s="55" t="s">
        <v>102</v>
      </c>
      <c r="F94" s="799" t="s">
        <v>79</v>
      </c>
      <c r="G94" s="800" t="s">
        <v>44</v>
      </c>
      <c r="H94" s="800" t="s">
        <v>42</v>
      </c>
      <c r="I94" s="801" t="s">
        <v>43</v>
      </c>
      <c r="J94" s="55"/>
      <c r="K94" s="69">
        <f t="shared" si="26"/>
        <v>11531.6</v>
      </c>
      <c r="L94" s="69">
        <f t="shared" si="26"/>
        <v>0</v>
      </c>
      <c r="M94" s="69">
        <f t="shared" si="26"/>
        <v>11531.6</v>
      </c>
    </row>
    <row r="95" spans="1:13" s="163" customFormat="1" ht="72" customHeight="1" x14ac:dyDescent="0.35">
      <c r="A95" s="56"/>
      <c r="B95" s="610" t="s">
        <v>81</v>
      </c>
      <c r="C95" s="68" t="s">
        <v>1</v>
      </c>
      <c r="D95" s="55" t="s">
        <v>61</v>
      </c>
      <c r="E95" s="55" t="s">
        <v>102</v>
      </c>
      <c r="F95" s="799" t="s">
        <v>79</v>
      </c>
      <c r="G95" s="800" t="s">
        <v>44</v>
      </c>
      <c r="H95" s="800" t="s">
        <v>36</v>
      </c>
      <c r="I95" s="801" t="s">
        <v>43</v>
      </c>
      <c r="J95" s="55"/>
      <c r="K95" s="69">
        <f>K96+K98+K100+K103</f>
        <v>11531.6</v>
      </c>
      <c r="L95" s="69">
        <f t="shared" ref="L95" si="27">L96+L98+L100+L103</f>
        <v>0</v>
      </c>
      <c r="M95" s="69">
        <f>M96+M98+M100+M103</f>
        <v>11531.6</v>
      </c>
    </row>
    <row r="96" spans="1:13" s="163" customFormat="1" ht="36" customHeight="1" x14ac:dyDescent="0.35">
      <c r="A96" s="56"/>
      <c r="B96" s="659" t="s">
        <v>471</v>
      </c>
      <c r="C96" s="68" t="s">
        <v>1</v>
      </c>
      <c r="D96" s="55" t="s">
        <v>61</v>
      </c>
      <c r="E96" s="55" t="s">
        <v>102</v>
      </c>
      <c r="F96" s="799" t="s">
        <v>79</v>
      </c>
      <c r="G96" s="800" t="s">
        <v>44</v>
      </c>
      <c r="H96" s="800" t="s">
        <v>36</v>
      </c>
      <c r="I96" s="801" t="s">
        <v>82</v>
      </c>
      <c r="J96" s="55"/>
      <c r="K96" s="69">
        <f>K97</f>
        <v>1926.4</v>
      </c>
      <c r="L96" s="69">
        <f t="shared" ref="L96" si="28">L97</f>
        <v>0</v>
      </c>
      <c r="M96" s="69">
        <f>M97</f>
        <v>1926.4</v>
      </c>
    </row>
    <row r="97" spans="1:13" s="163" customFormat="1" ht="54" customHeight="1" x14ac:dyDescent="0.35">
      <c r="A97" s="56"/>
      <c r="B97" s="610" t="s">
        <v>53</v>
      </c>
      <c r="C97" s="68" t="s">
        <v>1</v>
      </c>
      <c r="D97" s="55" t="s">
        <v>61</v>
      </c>
      <c r="E97" s="55" t="s">
        <v>102</v>
      </c>
      <c r="F97" s="799" t="s">
        <v>79</v>
      </c>
      <c r="G97" s="800" t="s">
        <v>44</v>
      </c>
      <c r="H97" s="800" t="s">
        <v>36</v>
      </c>
      <c r="I97" s="801" t="s">
        <v>82</v>
      </c>
      <c r="J97" s="55" t="s">
        <v>54</v>
      </c>
      <c r="K97" s="69">
        <f>298.4+1628</f>
        <v>1926.4</v>
      </c>
      <c r="L97" s="69">
        <f>M97-K97</f>
        <v>0</v>
      </c>
      <c r="M97" s="69">
        <f>298.4+1628</f>
        <v>1926.4</v>
      </c>
    </row>
    <row r="98" spans="1:13" s="163" customFormat="1" ht="54" customHeight="1" x14ac:dyDescent="0.35">
      <c r="A98" s="56"/>
      <c r="B98" s="610" t="s">
        <v>83</v>
      </c>
      <c r="C98" s="68" t="s">
        <v>1</v>
      </c>
      <c r="D98" s="55" t="s">
        <v>61</v>
      </c>
      <c r="E98" s="55" t="s">
        <v>102</v>
      </c>
      <c r="F98" s="799" t="s">
        <v>79</v>
      </c>
      <c r="G98" s="800" t="s">
        <v>44</v>
      </c>
      <c r="H98" s="800" t="s">
        <v>36</v>
      </c>
      <c r="I98" s="801" t="s">
        <v>84</v>
      </c>
      <c r="J98" s="55"/>
      <c r="K98" s="69">
        <f>K99</f>
        <v>67.2</v>
      </c>
      <c r="L98" s="69">
        <f t="shared" ref="L98" si="29">L99</f>
        <v>0</v>
      </c>
      <c r="M98" s="69">
        <f>M99</f>
        <v>67.2</v>
      </c>
    </row>
    <row r="99" spans="1:13" s="163" customFormat="1" ht="54" customHeight="1" x14ac:dyDescent="0.35">
      <c r="A99" s="56"/>
      <c r="B99" s="610" t="s">
        <v>53</v>
      </c>
      <c r="C99" s="68" t="s">
        <v>1</v>
      </c>
      <c r="D99" s="55" t="s">
        <v>61</v>
      </c>
      <c r="E99" s="55" t="s">
        <v>102</v>
      </c>
      <c r="F99" s="799" t="s">
        <v>79</v>
      </c>
      <c r="G99" s="800" t="s">
        <v>44</v>
      </c>
      <c r="H99" s="800" t="s">
        <v>36</v>
      </c>
      <c r="I99" s="801" t="s">
        <v>84</v>
      </c>
      <c r="J99" s="55" t="s">
        <v>54</v>
      </c>
      <c r="K99" s="69">
        <f>63.9+3.3</f>
        <v>67.2</v>
      </c>
      <c r="L99" s="69">
        <f>M99-K99</f>
        <v>0</v>
      </c>
      <c r="M99" s="69">
        <f>63.9+3.3</f>
        <v>67.2</v>
      </c>
    </row>
    <row r="100" spans="1:13" s="163" customFormat="1" ht="144" customHeight="1" x14ac:dyDescent="0.35">
      <c r="A100" s="56"/>
      <c r="B100" s="610" t="s">
        <v>608</v>
      </c>
      <c r="C100" s="68" t="s">
        <v>1</v>
      </c>
      <c r="D100" s="55" t="s">
        <v>61</v>
      </c>
      <c r="E100" s="55" t="s">
        <v>102</v>
      </c>
      <c r="F100" s="799" t="s">
        <v>79</v>
      </c>
      <c r="G100" s="800" t="s">
        <v>44</v>
      </c>
      <c r="H100" s="800" t="s">
        <v>36</v>
      </c>
      <c r="I100" s="801" t="s">
        <v>349</v>
      </c>
      <c r="J100" s="55"/>
      <c r="K100" s="69">
        <f>K101</f>
        <v>9483.9</v>
      </c>
      <c r="L100" s="69">
        <f t="shared" ref="L100" si="30">L101</f>
        <v>0</v>
      </c>
      <c r="M100" s="69">
        <f>M101</f>
        <v>9483.9</v>
      </c>
    </row>
    <row r="101" spans="1:13" s="163" customFormat="1" ht="18" customHeight="1" x14ac:dyDescent="0.35">
      <c r="A101" s="56"/>
      <c r="B101" s="610" t="s">
        <v>121</v>
      </c>
      <c r="C101" s="68" t="s">
        <v>1</v>
      </c>
      <c r="D101" s="55" t="s">
        <v>61</v>
      </c>
      <c r="E101" s="55" t="s">
        <v>102</v>
      </c>
      <c r="F101" s="799" t="s">
        <v>79</v>
      </c>
      <c r="G101" s="800" t="s">
        <v>44</v>
      </c>
      <c r="H101" s="800" t="s">
        <v>36</v>
      </c>
      <c r="I101" s="801" t="s">
        <v>349</v>
      </c>
      <c r="J101" s="55" t="s">
        <v>122</v>
      </c>
      <c r="K101" s="69">
        <v>9483.9</v>
      </c>
      <c r="L101" s="69">
        <f>M101-K101</f>
        <v>0</v>
      </c>
      <c r="M101" s="69">
        <v>9483.9</v>
      </c>
    </row>
    <row r="102" spans="1:13" s="163" customFormat="1" ht="90" customHeight="1" x14ac:dyDescent="0.35">
      <c r="A102" s="56"/>
      <c r="B102" s="606" t="s">
        <v>607</v>
      </c>
      <c r="C102" s="68" t="s">
        <v>1</v>
      </c>
      <c r="D102" s="55" t="s">
        <v>61</v>
      </c>
      <c r="E102" s="55" t="s">
        <v>102</v>
      </c>
      <c r="F102" s="799" t="s">
        <v>79</v>
      </c>
      <c r="G102" s="800" t="s">
        <v>44</v>
      </c>
      <c r="H102" s="800" t="s">
        <v>36</v>
      </c>
      <c r="I102" s="801" t="s">
        <v>350</v>
      </c>
      <c r="J102" s="55"/>
      <c r="K102" s="69">
        <f>K103</f>
        <v>54.1</v>
      </c>
      <c r="L102" s="69">
        <f t="shared" ref="L102" si="31">L103</f>
        <v>0</v>
      </c>
      <c r="M102" s="69">
        <f>M103</f>
        <v>54.1</v>
      </c>
    </row>
    <row r="103" spans="1:13" s="163" customFormat="1" ht="18" customHeight="1" x14ac:dyDescent="0.35">
      <c r="A103" s="56"/>
      <c r="B103" s="610" t="s">
        <v>121</v>
      </c>
      <c r="C103" s="68" t="s">
        <v>1</v>
      </c>
      <c r="D103" s="55" t="s">
        <v>61</v>
      </c>
      <c r="E103" s="55" t="s">
        <v>102</v>
      </c>
      <c r="F103" s="799" t="s">
        <v>79</v>
      </c>
      <c r="G103" s="800" t="s">
        <v>44</v>
      </c>
      <c r="H103" s="800" t="s">
        <v>36</v>
      </c>
      <c r="I103" s="801" t="s">
        <v>350</v>
      </c>
      <c r="J103" s="55" t="s">
        <v>122</v>
      </c>
      <c r="K103" s="69">
        <v>54.1</v>
      </c>
      <c r="L103" s="69">
        <f>M103-K103</f>
        <v>0</v>
      </c>
      <c r="M103" s="69">
        <v>54.1</v>
      </c>
    </row>
    <row r="104" spans="1:13" s="163" customFormat="1" ht="54" customHeight="1" x14ac:dyDescent="0.35">
      <c r="A104" s="56"/>
      <c r="B104" s="658" t="s">
        <v>85</v>
      </c>
      <c r="C104" s="68" t="s">
        <v>1</v>
      </c>
      <c r="D104" s="55" t="s">
        <v>61</v>
      </c>
      <c r="E104" s="55" t="s">
        <v>86</v>
      </c>
      <c r="F104" s="799"/>
      <c r="G104" s="800"/>
      <c r="H104" s="800"/>
      <c r="I104" s="801"/>
      <c r="J104" s="55"/>
      <c r="K104" s="69">
        <f>K105</f>
        <v>14101.23913</v>
      </c>
      <c r="L104" s="69">
        <f t="shared" ref="L104" si="32">L105</f>
        <v>0</v>
      </c>
      <c r="M104" s="69">
        <f>M105</f>
        <v>14101.23913</v>
      </c>
    </row>
    <row r="105" spans="1:13" s="163" customFormat="1" ht="54" customHeight="1" x14ac:dyDescent="0.35">
      <c r="A105" s="56"/>
      <c r="B105" s="610" t="s">
        <v>78</v>
      </c>
      <c r="C105" s="68" t="s">
        <v>1</v>
      </c>
      <c r="D105" s="55" t="s">
        <v>61</v>
      </c>
      <c r="E105" s="55" t="s">
        <v>86</v>
      </c>
      <c r="F105" s="799" t="s">
        <v>79</v>
      </c>
      <c r="G105" s="800" t="s">
        <v>41</v>
      </c>
      <c r="H105" s="800" t="s">
        <v>42</v>
      </c>
      <c r="I105" s="801" t="s">
        <v>43</v>
      </c>
      <c r="J105" s="55"/>
      <c r="K105" s="69">
        <f>K106+K115+K121</f>
        <v>14101.23913</v>
      </c>
      <c r="L105" s="69">
        <f t="shared" ref="L105" si="33">L106+L115+L121</f>
        <v>0</v>
      </c>
      <c r="M105" s="69">
        <f>M106+M115+M121</f>
        <v>14101.23913</v>
      </c>
    </row>
    <row r="106" spans="1:13" s="163" customFormat="1" ht="36" customHeight="1" x14ac:dyDescent="0.35">
      <c r="A106" s="56"/>
      <c r="B106" s="658" t="s">
        <v>123</v>
      </c>
      <c r="C106" s="68" t="s">
        <v>1</v>
      </c>
      <c r="D106" s="55" t="s">
        <v>61</v>
      </c>
      <c r="E106" s="55" t="s">
        <v>86</v>
      </c>
      <c r="F106" s="799" t="s">
        <v>79</v>
      </c>
      <c r="G106" s="800" t="s">
        <v>87</v>
      </c>
      <c r="H106" s="800" t="s">
        <v>42</v>
      </c>
      <c r="I106" s="801" t="s">
        <v>43</v>
      </c>
      <c r="J106" s="55"/>
      <c r="K106" s="69">
        <f>K112+K107</f>
        <v>1827.1991199999998</v>
      </c>
      <c r="L106" s="69">
        <f t="shared" ref="L106" si="34">L112+L107</f>
        <v>0</v>
      </c>
      <c r="M106" s="69">
        <f>M112+M107</f>
        <v>1827.1991199999998</v>
      </c>
    </row>
    <row r="107" spans="1:13" s="163" customFormat="1" ht="36" customHeight="1" x14ac:dyDescent="0.35">
      <c r="A107" s="56"/>
      <c r="B107" s="658" t="s">
        <v>285</v>
      </c>
      <c r="C107" s="68" t="s">
        <v>1</v>
      </c>
      <c r="D107" s="55" t="s">
        <v>61</v>
      </c>
      <c r="E107" s="55" t="s">
        <v>86</v>
      </c>
      <c r="F107" s="799" t="s">
        <v>79</v>
      </c>
      <c r="G107" s="800" t="s">
        <v>87</v>
      </c>
      <c r="H107" s="800" t="s">
        <v>36</v>
      </c>
      <c r="I107" s="801" t="s">
        <v>43</v>
      </c>
      <c r="J107" s="55"/>
      <c r="K107" s="69">
        <f>K110+K108</f>
        <v>342.6</v>
      </c>
      <c r="L107" s="69">
        <f t="shared" ref="L107" si="35">L110+L108</f>
        <v>0</v>
      </c>
      <c r="M107" s="69">
        <f>M110+M108</f>
        <v>342.6</v>
      </c>
    </row>
    <row r="108" spans="1:13" s="163" customFormat="1" ht="36" customHeight="1" x14ac:dyDescent="0.35">
      <c r="A108" s="56"/>
      <c r="B108" s="642" t="s">
        <v>125</v>
      </c>
      <c r="C108" s="68" t="s">
        <v>1</v>
      </c>
      <c r="D108" s="55" t="s">
        <v>61</v>
      </c>
      <c r="E108" s="55" t="s">
        <v>86</v>
      </c>
      <c r="F108" s="799" t="s">
        <v>79</v>
      </c>
      <c r="G108" s="800" t="s">
        <v>87</v>
      </c>
      <c r="H108" s="800" t="s">
        <v>36</v>
      </c>
      <c r="I108" s="801" t="s">
        <v>88</v>
      </c>
      <c r="J108" s="55"/>
      <c r="K108" s="69">
        <f>K109</f>
        <v>218.7</v>
      </c>
      <c r="L108" s="69">
        <f t="shared" ref="L108" si="36">L109</f>
        <v>0</v>
      </c>
      <c r="M108" s="69">
        <f>M109</f>
        <v>218.7</v>
      </c>
    </row>
    <row r="109" spans="1:13" s="163" customFormat="1" ht="54" customHeight="1" x14ac:dyDescent="0.35">
      <c r="A109" s="56"/>
      <c r="B109" s="610" t="s">
        <v>53</v>
      </c>
      <c r="C109" s="68" t="s">
        <v>1</v>
      </c>
      <c r="D109" s="55" t="s">
        <v>61</v>
      </c>
      <c r="E109" s="55" t="s">
        <v>86</v>
      </c>
      <c r="F109" s="799" t="s">
        <v>79</v>
      </c>
      <c r="G109" s="800" t="s">
        <v>87</v>
      </c>
      <c r="H109" s="800" t="s">
        <v>36</v>
      </c>
      <c r="I109" s="801" t="s">
        <v>88</v>
      </c>
      <c r="J109" s="55" t="s">
        <v>54</v>
      </c>
      <c r="K109" s="69">
        <f>28.7+190</f>
        <v>218.7</v>
      </c>
      <c r="L109" s="69">
        <f>M109-K109</f>
        <v>0</v>
      </c>
      <c r="M109" s="69">
        <f>28.7+190</f>
        <v>218.7</v>
      </c>
    </row>
    <row r="110" spans="1:13" s="163" customFormat="1" ht="90" customHeight="1" x14ac:dyDescent="0.35">
      <c r="A110" s="56"/>
      <c r="B110" s="621" t="s">
        <v>607</v>
      </c>
      <c r="C110" s="68" t="s">
        <v>1</v>
      </c>
      <c r="D110" s="55" t="s">
        <v>61</v>
      </c>
      <c r="E110" s="55" t="s">
        <v>86</v>
      </c>
      <c r="F110" s="799" t="s">
        <v>79</v>
      </c>
      <c r="G110" s="800" t="s">
        <v>87</v>
      </c>
      <c r="H110" s="800" t="s">
        <v>36</v>
      </c>
      <c r="I110" s="801" t="s">
        <v>350</v>
      </c>
      <c r="J110" s="55"/>
      <c r="K110" s="69">
        <f>K111</f>
        <v>123.9</v>
      </c>
      <c r="L110" s="69">
        <f t="shared" ref="L110" si="37">L111</f>
        <v>0</v>
      </c>
      <c r="M110" s="69">
        <f>M111</f>
        <v>123.9</v>
      </c>
    </row>
    <row r="111" spans="1:13" s="163" customFormat="1" ht="18" customHeight="1" x14ac:dyDescent="0.35">
      <c r="A111" s="56"/>
      <c r="B111" s="658" t="s">
        <v>121</v>
      </c>
      <c r="C111" s="68" t="s">
        <v>1</v>
      </c>
      <c r="D111" s="55" t="s">
        <v>61</v>
      </c>
      <c r="E111" s="55" t="s">
        <v>86</v>
      </c>
      <c r="F111" s="799" t="s">
        <v>79</v>
      </c>
      <c r="G111" s="800" t="s">
        <v>87</v>
      </c>
      <c r="H111" s="800" t="s">
        <v>36</v>
      </c>
      <c r="I111" s="801" t="s">
        <v>350</v>
      </c>
      <c r="J111" s="55" t="s">
        <v>122</v>
      </c>
      <c r="K111" s="69">
        <v>123.9</v>
      </c>
      <c r="L111" s="69">
        <f>M111-K111</f>
        <v>0</v>
      </c>
      <c r="M111" s="69">
        <v>123.9</v>
      </c>
    </row>
    <row r="112" spans="1:13" s="163" customFormat="1" ht="54" customHeight="1" x14ac:dyDescent="0.35">
      <c r="A112" s="56"/>
      <c r="B112" s="642" t="s">
        <v>124</v>
      </c>
      <c r="C112" s="68" t="s">
        <v>1</v>
      </c>
      <c r="D112" s="55" t="s">
        <v>61</v>
      </c>
      <c r="E112" s="55" t="s">
        <v>86</v>
      </c>
      <c r="F112" s="799" t="s">
        <v>79</v>
      </c>
      <c r="G112" s="800" t="s">
        <v>87</v>
      </c>
      <c r="H112" s="800" t="s">
        <v>38</v>
      </c>
      <c r="I112" s="801" t="s">
        <v>43</v>
      </c>
      <c r="J112" s="55"/>
      <c r="K112" s="69">
        <f t="shared" ref="K112:M113" si="38">K113</f>
        <v>1484.5991199999999</v>
      </c>
      <c r="L112" s="69">
        <f t="shared" si="38"/>
        <v>0</v>
      </c>
      <c r="M112" s="69">
        <f t="shared" si="38"/>
        <v>1484.5991199999999</v>
      </c>
    </row>
    <row r="113" spans="1:13" s="163" customFormat="1" ht="36" customHeight="1" x14ac:dyDescent="0.35">
      <c r="A113" s="56"/>
      <c r="B113" s="642" t="s">
        <v>125</v>
      </c>
      <c r="C113" s="68" t="s">
        <v>1</v>
      </c>
      <c r="D113" s="55" t="s">
        <v>61</v>
      </c>
      <c r="E113" s="55" t="s">
        <v>86</v>
      </c>
      <c r="F113" s="799" t="s">
        <v>79</v>
      </c>
      <c r="G113" s="800" t="s">
        <v>87</v>
      </c>
      <c r="H113" s="800" t="s">
        <v>38</v>
      </c>
      <c r="I113" s="801" t="s">
        <v>88</v>
      </c>
      <c r="J113" s="55"/>
      <c r="K113" s="69">
        <f t="shared" si="38"/>
        <v>1484.5991199999999</v>
      </c>
      <c r="L113" s="69">
        <f t="shared" si="38"/>
        <v>0</v>
      </c>
      <c r="M113" s="69">
        <f t="shared" si="38"/>
        <v>1484.5991199999999</v>
      </c>
    </row>
    <row r="114" spans="1:13" s="163" customFormat="1" ht="54" customHeight="1" x14ac:dyDescent="0.35">
      <c r="A114" s="56"/>
      <c r="B114" s="610" t="s">
        <v>53</v>
      </c>
      <c r="C114" s="68" t="s">
        <v>1</v>
      </c>
      <c r="D114" s="55" t="s">
        <v>61</v>
      </c>
      <c r="E114" s="55" t="s">
        <v>86</v>
      </c>
      <c r="F114" s="799" t="s">
        <v>79</v>
      </c>
      <c r="G114" s="800" t="s">
        <v>87</v>
      </c>
      <c r="H114" s="800" t="s">
        <v>38</v>
      </c>
      <c r="I114" s="801" t="s">
        <v>88</v>
      </c>
      <c r="J114" s="55" t="s">
        <v>54</v>
      </c>
      <c r="K114" s="69">
        <f>810+652.6+21.99912</f>
        <v>1484.5991199999999</v>
      </c>
      <c r="L114" s="69">
        <f>M114-K114</f>
        <v>0</v>
      </c>
      <c r="M114" s="69">
        <f>810+652.6+21.99912</f>
        <v>1484.5991199999999</v>
      </c>
    </row>
    <row r="115" spans="1:13" s="163" customFormat="1" ht="72" customHeight="1" x14ac:dyDescent="0.35">
      <c r="A115" s="56"/>
      <c r="B115" s="658" t="s">
        <v>389</v>
      </c>
      <c r="C115" s="68" t="s">
        <v>1</v>
      </c>
      <c r="D115" s="55" t="s">
        <v>61</v>
      </c>
      <c r="E115" s="55" t="s">
        <v>86</v>
      </c>
      <c r="F115" s="799" t="s">
        <v>79</v>
      </c>
      <c r="G115" s="800" t="s">
        <v>29</v>
      </c>
      <c r="H115" s="800" t="s">
        <v>42</v>
      </c>
      <c r="I115" s="801" t="s">
        <v>43</v>
      </c>
      <c r="J115" s="55"/>
      <c r="K115" s="69">
        <f>K116</f>
        <v>12245.34001</v>
      </c>
      <c r="L115" s="69">
        <f t="shared" ref="L115:L116" si="39">L116</f>
        <v>0</v>
      </c>
      <c r="M115" s="69">
        <f>M116</f>
        <v>12245.34001</v>
      </c>
    </row>
    <row r="116" spans="1:13" s="163" customFormat="1" ht="72" customHeight="1" x14ac:dyDescent="0.35">
      <c r="A116" s="56"/>
      <c r="B116" s="642" t="s">
        <v>343</v>
      </c>
      <c r="C116" s="68" t="s">
        <v>1</v>
      </c>
      <c r="D116" s="55" t="s">
        <v>61</v>
      </c>
      <c r="E116" s="55" t="s">
        <v>86</v>
      </c>
      <c r="F116" s="799" t="s">
        <v>79</v>
      </c>
      <c r="G116" s="800" t="s">
        <v>29</v>
      </c>
      <c r="H116" s="800" t="s">
        <v>36</v>
      </c>
      <c r="I116" s="801" t="s">
        <v>43</v>
      </c>
      <c r="J116" s="55"/>
      <c r="K116" s="69">
        <f>K117</f>
        <v>12245.34001</v>
      </c>
      <c r="L116" s="69">
        <f t="shared" si="39"/>
        <v>0</v>
      </c>
      <c r="M116" s="69">
        <f>M117</f>
        <v>12245.34001</v>
      </c>
    </row>
    <row r="117" spans="1:13" s="163" customFormat="1" ht="36" customHeight="1" x14ac:dyDescent="0.35">
      <c r="A117" s="56"/>
      <c r="B117" s="642" t="s">
        <v>484</v>
      </c>
      <c r="C117" s="68" t="s">
        <v>1</v>
      </c>
      <c r="D117" s="55" t="s">
        <v>61</v>
      </c>
      <c r="E117" s="55" t="s">
        <v>86</v>
      </c>
      <c r="F117" s="799" t="s">
        <v>79</v>
      </c>
      <c r="G117" s="800" t="s">
        <v>29</v>
      </c>
      <c r="H117" s="800" t="s">
        <v>36</v>
      </c>
      <c r="I117" s="801" t="s">
        <v>89</v>
      </c>
      <c r="J117" s="55"/>
      <c r="K117" s="69">
        <f>K118+K119+K120</f>
        <v>12245.34001</v>
      </c>
      <c r="L117" s="69">
        <f t="shared" ref="L117" si="40">L118+L119+L120</f>
        <v>0</v>
      </c>
      <c r="M117" s="69">
        <f>M118+M119+M120</f>
        <v>12245.34001</v>
      </c>
    </row>
    <row r="118" spans="1:13" s="163" customFormat="1" ht="108" customHeight="1" x14ac:dyDescent="0.35">
      <c r="A118" s="56"/>
      <c r="B118" s="610" t="s">
        <v>48</v>
      </c>
      <c r="C118" s="68" t="s">
        <v>1</v>
      </c>
      <c r="D118" s="55" t="s">
        <v>61</v>
      </c>
      <c r="E118" s="55" t="s">
        <v>86</v>
      </c>
      <c r="F118" s="799" t="s">
        <v>79</v>
      </c>
      <c r="G118" s="800" t="s">
        <v>29</v>
      </c>
      <c r="H118" s="800" t="s">
        <v>36</v>
      </c>
      <c r="I118" s="801" t="s">
        <v>89</v>
      </c>
      <c r="J118" s="55" t="s">
        <v>49</v>
      </c>
      <c r="K118" s="69">
        <v>9058.7999999999993</v>
      </c>
      <c r="L118" s="69">
        <f>M118-K118</f>
        <v>0</v>
      </c>
      <c r="M118" s="69">
        <v>9058.7999999999993</v>
      </c>
    </row>
    <row r="119" spans="1:13" s="163" customFormat="1" ht="54" x14ac:dyDescent="0.35">
      <c r="A119" s="56"/>
      <c r="B119" s="610" t="s">
        <v>53</v>
      </c>
      <c r="C119" s="68" t="s">
        <v>1</v>
      </c>
      <c r="D119" s="55" t="s">
        <v>61</v>
      </c>
      <c r="E119" s="55" t="s">
        <v>86</v>
      </c>
      <c r="F119" s="799" t="s">
        <v>79</v>
      </c>
      <c r="G119" s="800" t="s">
        <v>29</v>
      </c>
      <c r="H119" s="800" t="s">
        <v>36</v>
      </c>
      <c r="I119" s="801" t="s">
        <v>89</v>
      </c>
      <c r="J119" s="55" t="s">
        <v>54</v>
      </c>
      <c r="K119" s="69">
        <f>2445.4+352.8+10.04001+375</f>
        <v>3183.2400100000004</v>
      </c>
      <c r="L119" s="69">
        <f>M119-K119</f>
        <v>0</v>
      </c>
      <c r="M119" s="69">
        <f>2445.4+352.8+10.04001+375</f>
        <v>3183.2400100000004</v>
      </c>
    </row>
    <row r="120" spans="1:13" s="163" customFormat="1" ht="18" customHeight="1" x14ac:dyDescent="0.35">
      <c r="A120" s="56"/>
      <c r="B120" s="610" t="s">
        <v>55</v>
      </c>
      <c r="C120" s="68" t="s">
        <v>1</v>
      </c>
      <c r="D120" s="55" t="s">
        <v>61</v>
      </c>
      <c r="E120" s="55" t="s">
        <v>86</v>
      </c>
      <c r="F120" s="799" t="s">
        <v>79</v>
      </c>
      <c r="G120" s="800" t="s">
        <v>29</v>
      </c>
      <c r="H120" s="800" t="s">
        <v>36</v>
      </c>
      <c r="I120" s="801" t="s">
        <v>89</v>
      </c>
      <c r="J120" s="55" t="s">
        <v>56</v>
      </c>
      <c r="K120" s="69">
        <v>3.3</v>
      </c>
      <c r="L120" s="69">
        <f>M120-K120</f>
        <v>0</v>
      </c>
      <c r="M120" s="69">
        <v>3.3</v>
      </c>
    </row>
    <row r="121" spans="1:13" s="163" customFormat="1" ht="69" customHeight="1" x14ac:dyDescent="0.35">
      <c r="A121" s="56"/>
      <c r="B121" s="624" t="s">
        <v>504</v>
      </c>
      <c r="C121" s="68" t="s">
        <v>1</v>
      </c>
      <c r="D121" s="55" t="s">
        <v>61</v>
      </c>
      <c r="E121" s="55" t="s">
        <v>86</v>
      </c>
      <c r="F121" s="799" t="s">
        <v>79</v>
      </c>
      <c r="G121" s="800" t="s">
        <v>30</v>
      </c>
      <c r="H121" s="800" t="s">
        <v>42</v>
      </c>
      <c r="I121" s="801" t="s">
        <v>43</v>
      </c>
      <c r="J121" s="55"/>
      <c r="K121" s="69">
        <f>K122</f>
        <v>28.7</v>
      </c>
      <c r="L121" s="69">
        <f t="shared" ref="L121" si="41">L122</f>
        <v>0</v>
      </c>
      <c r="M121" s="69">
        <f>M122</f>
        <v>28.7</v>
      </c>
    </row>
    <row r="122" spans="1:13" s="163" customFormat="1" ht="72" customHeight="1" x14ac:dyDescent="0.35">
      <c r="A122" s="56"/>
      <c r="B122" s="625" t="s">
        <v>505</v>
      </c>
      <c r="C122" s="68" t="s">
        <v>1</v>
      </c>
      <c r="D122" s="55" t="s">
        <v>61</v>
      </c>
      <c r="E122" s="55" t="s">
        <v>86</v>
      </c>
      <c r="F122" s="799" t="s">
        <v>79</v>
      </c>
      <c r="G122" s="800" t="s">
        <v>30</v>
      </c>
      <c r="H122" s="800" t="s">
        <v>36</v>
      </c>
      <c r="I122" s="801" t="s">
        <v>43</v>
      </c>
      <c r="J122" s="55"/>
      <c r="K122" s="69">
        <f t="shared" ref="K122:M123" si="42">K123</f>
        <v>28.7</v>
      </c>
      <c r="L122" s="69">
        <f t="shared" si="42"/>
        <v>0</v>
      </c>
      <c r="M122" s="69">
        <f t="shared" si="42"/>
        <v>28.7</v>
      </c>
    </row>
    <row r="123" spans="1:13" s="163" customFormat="1" ht="54" customHeight="1" x14ac:dyDescent="0.35">
      <c r="A123" s="56"/>
      <c r="B123" s="626" t="s">
        <v>83</v>
      </c>
      <c r="C123" s="68" t="s">
        <v>1</v>
      </c>
      <c r="D123" s="55" t="s">
        <v>61</v>
      </c>
      <c r="E123" s="55" t="s">
        <v>86</v>
      </c>
      <c r="F123" s="799" t="s">
        <v>79</v>
      </c>
      <c r="G123" s="800" t="s">
        <v>30</v>
      </c>
      <c r="H123" s="800" t="s">
        <v>36</v>
      </c>
      <c r="I123" s="801" t="s">
        <v>84</v>
      </c>
      <c r="J123" s="55"/>
      <c r="K123" s="69">
        <f t="shared" si="42"/>
        <v>28.7</v>
      </c>
      <c r="L123" s="69">
        <f t="shared" si="42"/>
        <v>0</v>
      </c>
      <c r="M123" s="69">
        <f t="shared" si="42"/>
        <v>28.7</v>
      </c>
    </row>
    <row r="124" spans="1:13" s="163" customFormat="1" ht="54" customHeight="1" x14ac:dyDescent="0.35">
      <c r="A124" s="56"/>
      <c r="B124" s="627" t="s">
        <v>53</v>
      </c>
      <c r="C124" s="68" t="s">
        <v>1</v>
      </c>
      <c r="D124" s="55" t="s">
        <v>61</v>
      </c>
      <c r="E124" s="55" t="s">
        <v>86</v>
      </c>
      <c r="F124" s="799" t="s">
        <v>79</v>
      </c>
      <c r="G124" s="800" t="s">
        <v>30</v>
      </c>
      <c r="H124" s="800" t="s">
        <v>36</v>
      </c>
      <c r="I124" s="801" t="s">
        <v>84</v>
      </c>
      <c r="J124" s="55" t="s">
        <v>54</v>
      </c>
      <c r="K124" s="69">
        <v>28.7</v>
      </c>
      <c r="L124" s="69">
        <f>M124-K124</f>
        <v>0</v>
      </c>
      <c r="M124" s="69">
        <v>28.7</v>
      </c>
    </row>
    <row r="125" spans="1:13" s="163" customFormat="1" ht="18" customHeight="1" x14ac:dyDescent="0.35">
      <c r="A125" s="56"/>
      <c r="B125" s="610" t="s">
        <v>90</v>
      </c>
      <c r="C125" s="68" t="s">
        <v>1</v>
      </c>
      <c r="D125" s="55" t="s">
        <v>50</v>
      </c>
      <c r="E125" s="55"/>
      <c r="F125" s="799"/>
      <c r="G125" s="800"/>
      <c r="H125" s="800"/>
      <c r="I125" s="801"/>
      <c r="J125" s="55"/>
      <c r="K125" s="69">
        <f>K126+K135+K141</f>
        <v>37314.616889999998</v>
      </c>
      <c r="L125" s="69">
        <f t="shared" ref="L125" si="43">L126+L135+L141</f>
        <v>0</v>
      </c>
      <c r="M125" s="69">
        <f>M126+M135+M141</f>
        <v>37314.616889999998</v>
      </c>
    </row>
    <row r="126" spans="1:13" s="52" customFormat="1" ht="18" customHeight="1" x14ac:dyDescent="0.35">
      <c r="A126" s="56"/>
      <c r="B126" s="610" t="s">
        <v>91</v>
      </c>
      <c r="C126" s="68" t="s">
        <v>1</v>
      </c>
      <c r="D126" s="55" t="s">
        <v>50</v>
      </c>
      <c r="E126" s="55" t="s">
        <v>63</v>
      </c>
      <c r="F126" s="799"/>
      <c r="G126" s="800"/>
      <c r="H126" s="800"/>
      <c r="I126" s="801"/>
      <c r="J126" s="55"/>
      <c r="K126" s="69">
        <f t="shared" ref="K126:M127" si="44">K127</f>
        <v>24038.799999999999</v>
      </c>
      <c r="L126" s="69">
        <f t="shared" si="44"/>
        <v>0</v>
      </c>
      <c r="M126" s="69">
        <f t="shared" si="44"/>
        <v>24038.799999999999</v>
      </c>
    </row>
    <row r="127" spans="1:13" s="163" customFormat="1" ht="54" customHeight="1" x14ac:dyDescent="0.35">
      <c r="A127" s="56"/>
      <c r="B127" s="610" t="s">
        <v>92</v>
      </c>
      <c r="C127" s="68" t="s">
        <v>1</v>
      </c>
      <c r="D127" s="55" t="s">
        <v>50</v>
      </c>
      <c r="E127" s="55" t="s">
        <v>63</v>
      </c>
      <c r="F127" s="799" t="s">
        <v>65</v>
      </c>
      <c r="G127" s="800" t="s">
        <v>41</v>
      </c>
      <c r="H127" s="800" t="s">
        <v>42</v>
      </c>
      <c r="I127" s="801" t="s">
        <v>43</v>
      </c>
      <c r="J127" s="55"/>
      <c r="K127" s="69">
        <f t="shared" si="44"/>
        <v>24038.799999999999</v>
      </c>
      <c r="L127" s="69">
        <f t="shared" si="44"/>
        <v>0</v>
      </c>
      <c r="M127" s="69">
        <f t="shared" si="44"/>
        <v>24038.799999999999</v>
      </c>
    </row>
    <row r="128" spans="1:13" s="52" customFormat="1" ht="36" customHeight="1" x14ac:dyDescent="0.35">
      <c r="A128" s="56"/>
      <c r="B128" s="610" t="s">
        <v>359</v>
      </c>
      <c r="C128" s="68" t="s">
        <v>1</v>
      </c>
      <c r="D128" s="55" t="s">
        <v>50</v>
      </c>
      <c r="E128" s="55" t="s">
        <v>63</v>
      </c>
      <c r="F128" s="799" t="s">
        <v>65</v>
      </c>
      <c r="G128" s="800" t="s">
        <v>44</v>
      </c>
      <c r="H128" s="800" t="s">
        <v>42</v>
      </c>
      <c r="I128" s="801" t="s">
        <v>43</v>
      </c>
      <c r="J128" s="55"/>
      <c r="K128" s="69">
        <f>K129+K132</f>
        <v>24038.799999999999</v>
      </c>
      <c r="L128" s="69">
        <f t="shared" ref="L128" si="45">L129+L132</f>
        <v>0</v>
      </c>
      <c r="M128" s="69">
        <f>M129+M132</f>
        <v>24038.799999999999</v>
      </c>
    </row>
    <row r="129" spans="1:13" s="52" customFormat="1" ht="54" customHeight="1" x14ac:dyDescent="0.35">
      <c r="A129" s="56"/>
      <c r="B129" s="610" t="s">
        <v>93</v>
      </c>
      <c r="C129" s="68" t="s">
        <v>1</v>
      </c>
      <c r="D129" s="55" t="s">
        <v>50</v>
      </c>
      <c r="E129" s="55" t="s">
        <v>63</v>
      </c>
      <c r="F129" s="799" t="s">
        <v>65</v>
      </c>
      <c r="G129" s="800" t="s">
        <v>44</v>
      </c>
      <c r="H129" s="800" t="s">
        <v>36</v>
      </c>
      <c r="I129" s="801" t="s">
        <v>43</v>
      </c>
      <c r="J129" s="55"/>
      <c r="K129" s="69">
        <f t="shared" ref="K129:M130" si="46">K130</f>
        <v>20740</v>
      </c>
      <c r="L129" s="69">
        <f t="shared" si="46"/>
        <v>0</v>
      </c>
      <c r="M129" s="69">
        <f t="shared" si="46"/>
        <v>20740</v>
      </c>
    </row>
    <row r="130" spans="1:13" s="52" customFormat="1" ht="72" customHeight="1" x14ac:dyDescent="0.35">
      <c r="A130" s="56"/>
      <c r="B130" s="657" t="s">
        <v>430</v>
      </c>
      <c r="C130" s="68" t="s">
        <v>1</v>
      </c>
      <c r="D130" s="55" t="s">
        <v>50</v>
      </c>
      <c r="E130" s="55" t="s">
        <v>63</v>
      </c>
      <c r="F130" s="799" t="s">
        <v>65</v>
      </c>
      <c r="G130" s="800" t="s">
        <v>44</v>
      </c>
      <c r="H130" s="800" t="s">
        <v>36</v>
      </c>
      <c r="I130" s="801" t="s">
        <v>59</v>
      </c>
      <c r="J130" s="55"/>
      <c r="K130" s="69">
        <f t="shared" si="46"/>
        <v>20740</v>
      </c>
      <c r="L130" s="69">
        <f t="shared" si="46"/>
        <v>0</v>
      </c>
      <c r="M130" s="69">
        <f t="shared" si="46"/>
        <v>20740</v>
      </c>
    </row>
    <row r="131" spans="1:13" s="163" customFormat="1" ht="18" customHeight="1" x14ac:dyDescent="0.35">
      <c r="A131" s="56"/>
      <c r="B131" s="610" t="s">
        <v>55</v>
      </c>
      <c r="C131" s="68" t="s">
        <v>1</v>
      </c>
      <c r="D131" s="55" t="s">
        <v>50</v>
      </c>
      <c r="E131" s="55" t="s">
        <v>63</v>
      </c>
      <c r="F131" s="799" t="s">
        <v>65</v>
      </c>
      <c r="G131" s="800" t="s">
        <v>44</v>
      </c>
      <c r="H131" s="800" t="s">
        <v>36</v>
      </c>
      <c r="I131" s="801" t="s">
        <v>59</v>
      </c>
      <c r="J131" s="55" t="s">
        <v>56</v>
      </c>
      <c r="K131" s="69">
        <v>20740</v>
      </c>
      <c r="L131" s="69">
        <f>M131-K131</f>
        <v>0</v>
      </c>
      <c r="M131" s="69">
        <v>20740</v>
      </c>
    </row>
    <row r="132" spans="1:13" s="52" customFormat="1" ht="54" customHeight="1" x14ac:dyDescent="0.35">
      <c r="A132" s="56"/>
      <c r="B132" s="610" t="s">
        <v>94</v>
      </c>
      <c r="C132" s="68" t="s">
        <v>1</v>
      </c>
      <c r="D132" s="55" t="s">
        <v>50</v>
      </c>
      <c r="E132" s="55" t="s">
        <v>63</v>
      </c>
      <c r="F132" s="799" t="s">
        <v>65</v>
      </c>
      <c r="G132" s="800" t="s">
        <v>44</v>
      </c>
      <c r="H132" s="800" t="s">
        <v>38</v>
      </c>
      <c r="I132" s="801" t="s">
        <v>43</v>
      </c>
      <c r="J132" s="55"/>
      <c r="K132" s="69">
        <f t="shared" ref="K132:M133" si="47">K133</f>
        <v>3298.8</v>
      </c>
      <c r="L132" s="69">
        <f t="shared" si="47"/>
        <v>0</v>
      </c>
      <c r="M132" s="69">
        <f t="shared" si="47"/>
        <v>3298.8</v>
      </c>
    </row>
    <row r="133" spans="1:13" s="52" customFormat="1" ht="180" customHeight="1" x14ac:dyDescent="0.35">
      <c r="A133" s="56"/>
      <c r="B133" s="610" t="s">
        <v>540</v>
      </c>
      <c r="C133" s="68" t="s">
        <v>1</v>
      </c>
      <c r="D133" s="55" t="s">
        <v>50</v>
      </c>
      <c r="E133" s="55" t="s">
        <v>63</v>
      </c>
      <c r="F133" s="799" t="s">
        <v>65</v>
      </c>
      <c r="G133" s="800" t="s">
        <v>44</v>
      </c>
      <c r="H133" s="800" t="s">
        <v>38</v>
      </c>
      <c r="I133" s="801" t="s">
        <v>95</v>
      </c>
      <c r="J133" s="55"/>
      <c r="K133" s="69">
        <f t="shared" si="47"/>
        <v>3298.8</v>
      </c>
      <c r="L133" s="69">
        <f t="shared" si="47"/>
        <v>0</v>
      </c>
      <c r="M133" s="69">
        <f t="shared" si="47"/>
        <v>3298.8</v>
      </c>
    </row>
    <row r="134" spans="1:13" s="163" customFormat="1" ht="54" customHeight="1" x14ac:dyDescent="0.35">
      <c r="A134" s="56"/>
      <c r="B134" s="610" t="s">
        <v>53</v>
      </c>
      <c r="C134" s="68" t="s">
        <v>1</v>
      </c>
      <c r="D134" s="55" t="s">
        <v>50</v>
      </c>
      <c r="E134" s="55" t="s">
        <v>63</v>
      </c>
      <c r="F134" s="799" t="s">
        <v>65</v>
      </c>
      <c r="G134" s="800" t="s">
        <v>44</v>
      </c>
      <c r="H134" s="800" t="s">
        <v>38</v>
      </c>
      <c r="I134" s="801" t="s">
        <v>95</v>
      </c>
      <c r="J134" s="55" t="s">
        <v>54</v>
      </c>
      <c r="K134" s="69">
        <v>3298.8</v>
      </c>
      <c r="L134" s="69">
        <f>M134-K134</f>
        <v>0</v>
      </c>
      <c r="M134" s="69">
        <v>3298.8</v>
      </c>
    </row>
    <row r="135" spans="1:13" s="52" customFormat="1" ht="18" customHeight="1" x14ac:dyDescent="0.35">
      <c r="A135" s="56"/>
      <c r="B135" s="658" t="s">
        <v>96</v>
      </c>
      <c r="C135" s="68" t="s">
        <v>1</v>
      </c>
      <c r="D135" s="55" t="s">
        <v>50</v>
      </c>
      <c r="E135" s="55" t="s">
        <v>77</v>
      </c>
      <c r="F135" s="799"/>
      <c r="G135" s="800"/>
      <c r="H135" s="800"/>
      <c r="I135" s="801"/>
      <c r="J135" s="55"/>
      <c r="K135" s="69">
        <f t="shared" ref="K135:M139" si="48">K136</f>
        <v>10949.71689</v>
      </c>
      <c r="L135" s="69">
        <f t="shared" si="48"/>
        <v>0</v>
      </c>
      <c r="M135" s="69">
        <f t="shared" si="48"/>
        <v>10949.71689</v>
      </c>
    </row>
    <row r="136" spans="1:13" s="163" customFormat="1" ht="54" customHeight="1" x14ac:dyDescent="0.35">
      <c r="A136" s="56"/>
      <c r="B136" s="610" t="s">
        <v>97</v>
      </c>
      <c r="C136" s="68" t="s">
        <v>1</v>
      </c>
      <c r="D136" s="55" t="s">
        <v>50</v>
      </c>
      <c r="E136" s="55" t="s">
        <v>77</v>
      </c>
      <c r="F136" s="799" t="s">
        <v>98</v>
      </c>
      <c r="G136" s="800" t="s">
        <v>41</v>
      </c>
      <c r="H136" s="800" t="s">
        <v>42</v>
      </c>
      <c r="I136" s="801" t="s">
        <v>43</v>
      </c>
      <c r="J136" s="55"/>
      <c r="K136" s="69">
        <f t="shared" si="48"/>
        <v>10949.71689</v>
      </c>
      <c r="L136" s="69">
        <f t="shared" si="48"/>
        <v>0</v>
      </c>
      <c r="M136" s="69">
        <f t="shared" si="48"/>
        <v>10949.71689</v>
      </c>
    </row>
    <row r="137" spans="1:13" s="52" customFormat="1" ht="36" customHeight="1" x14ac:dyDescent="0.35">
      <c r="A137" s="56"/>
      <c r="B137" s="610" t="s">
        <v>359</v>
      </c>
      <c r="C137" s="68" t="s">
        <v>1</v>
      </c>
      <c r="D137" s="55" t="s">
        <v>50</v>
      </c>
      <c r="E137" s="55" t="s">
        <v>77</v>
      </c>
      <c r="F137" s="799" t="s">
        <v>98</v>
      </c>
      <c r="G137" s="800" t="s">
        <v>44</v>
      </c>
      <c r="H137" s="800" t="s">
        <v>42</v>
      </c>
      <c r="I137" s="801" t="s">
        <v>43</v>
      </c>
      <c r="J137" s="55"/>
      <c r="K137" s="69">
        <f t="shared" si="48"/>
        <v>10949.71689</v>
      </c>
      <c r="L137" s="69">
        <f t="shared" si="48"/>
        <v>0</v>
      </c>
      <c r="M137" s="69">
        <f t="shared" si="48"/>
        <v>10949.71689</v>
      </c>
    </row>
    <row r="138" spans="1:13" s="52" customFormat="1" ht="90" customHeight="1" x14ac:dyDescent="0.35">
      <c r="A138" s="56"/>
      <c r="B138" s="610" t="s">
        <v>99</v>
      </c>
      <c r="C138" s="68" t="s">
        <v>1</v>
      </c>
      <c r="D138" s="55" t="s">
        <v>50</v>
      </c>
      <c r="E138" s="55" t="s">
        <v>77</v>
      </c>
      <c r="F138" s="799" t="s">
        <v>98</v>
      </c>
      <c r="G138" s="800" t="s">
        <v>44</v>
      </c>
      <c r="H138" s="800" t="s">
        <v>36</v>
      </c>
      <c r="I138" s="801" t="s">
        <v>43</v>
      </c>
      <c r="J138" s="55"/>
      <c r="K138" s="69">
        <f>K139</f>
        <v>10949.71689</v>
      </c>
      <c r="L138" s="69">
        <f t="shared" si="48"/>
        <v>0</v>
      </c>
      <c r="M138" s="69">
        <f>M139</f>
        <v>10949.71689</v>
      </c>
    </row>
    <row r="139" spans="1:13" s="52" customFormat="1" ht="72" customHeight="1" x14ac:dyDescent="0.35">
      <c r="A139" s="56"/>
      <c r="B139" s="659" t="s">
        <v>100</v>
      </c>
      <c r="C139" s="68" t="s">
        <v>1</v>
      </c>
      <c r="D139" s="55" t="s">
        <v>50</v>
      </c>
      <c r="E139" s="55" t="s">
        <v>77</v>
      </c>
      <c r="F139" s="799" t="s">
        <v>98</v>
      </c>
      <c r="G139" s="800" t="s">
        <v>44</v>
      </c>
      <c r="H139" s="800" t="s">
        <v>36</v>
      </c>
      <c r="I139" s="801" t="s">
        <v>101</v>
      </c>
      <c r="J139" s="55"/>
      <c r="K139" s="69">
        <f t="shared" si="48"/>
        <v>10949.71689</v>
      </c>
      <c r="L139" s="69">
        <f t="shared" si="48"/>
        <v>0</v>
      </c>
      <c r="M139" s="69">
        <f t="shared" si="48"/>
        <v>10949.71689</v>
      </c>
    </row>
    <row r="140" spans="1:13" s="163" customFormat="1" ht="54" customHeight="1" x14ac:dyDescent="0.35">
      <c r="A140" s="56"/>
      <c r="B140" s="610" t="s">
        <v>53</v>
      </c>
      <c r="C140" s="68" t="s">
        <v>1</v>
      </c>
      <c r="D140" s="55" t="s">
        <v>50</v>
      </c>
      <c r="E140" s="55" t="s">
        <v>77</v>
      </c>
      <c r="F140" s="799" t="s">
        <v>98</v>
      </c>
      <c r="G140" s="800" t="s">
        <v>44</v>
      </c>
      <c r="H140" s="800" t="s">
        <v>36</v>
      </c>
      <c r="I140" s="801" t="s">
        <v>101</v>
      </c>
      <c r="J140" s="55" t="s">
        <v>54</v>
      </c>
      <c r="K140" s="69">
        <f>6844.9+4104.81689</f>
        <v>10949.71689</v>
      </c>
      <c r="L140" s="69">
        <f>M140-K140</f>
        <v>0</v>
      </c>
      <c r="M140" s="69">
        <f>6844.9+4104.81689</f>
        <v>10949.71689</v>
      </c>
    </row>
    <row r="141" spans="1:13" s="52" customFormat="1" ht="36" customHeight="1" x14ac:dyDescent="0.35">
      <c r="A141" s="56"/>
      <c r="B141" s="658" t="s">
        <v>104</v>
      </c>
      <c r="C141" s="68" t="s">
        <v>1</v>
      </c>
      <c r="D141" s="55" t="s">
        <v>50</v>
      </c>
      <c r="E141" s="55" t="s">
        <v>98</v>
      </c>
      <c r="F141" s="799"/>
      <c r="G141" s="800"/>
      <c r="H141" s="800"/>
      <c r="I141" s="801"/>
      <c r="J141" s="55"/>
      <c r="K141" s="69">
        <f>K142+K151+K156</f>
        <v>2326.1</v>
      </c>
      <c r="L141" s="69">
        <f t="shared" ref="L141" si="49">L142+L151+L156</f>
        <v>0</v>
      </c>
      <c r="M141" s="69">
        <f>M142+M151+M156</f>
        <v>2326.1</v>
      </c>
    </row>
    <row r="142" spans="1:13" s="163" customFormat="1" ht="72" customHeight="1" x14ac:dyDescent="0.35">
      <c r="A142" s="56"/>
      <c r="B142" s="610" t="s">
        <v>105</v>
      </c>
      <c r="C142" s="68" t="s">
        <v>1</v>
      </c>
      <c r="D142" s="55" t="s">
        <v>50</v>
      </c>
      <c r="E142" s="55" t="s">
        <v>98</v>
      </c>
      <c r="F142" s="799" t="s">
        <v>69</v>
      </c>
      <c r="G142" s="800" t="s">
        <v>41</v>
      </c>
      <c r="H142" s="800" t="s">
        <v>42</v>
      </c>
      <c r="I142" s="801" t="s">
        <v>43</v>
      </c>
      <c r="J142" s="55"/>
      <c r="K142" s="69">
        <f>K143+K147</f>
        <v>1076.0999999999999</v>
      </c>
      <c r="L142" s="69">
        <f t="shared" ref="L142" si="50">L143+L147</f>
        <v>0</v>
      </c>
      <c r="M142" s="69">
        <f>M143+M147</f>
        <v>1076.0999999999999</v>
      </c>
    </row>
    <row r="143" spans="1:13" s="163" customFormat="1" ht="54" customHeight="1" x14ac:dyDescent="0.35">
      <c r="A143" s="56"/>
      <c r="B143" s="658" t="s">
        <v>106</v>
      </c>
      <c r="C143" s="68" t="s">
        <v>1</v>
      </c>
      <c r="D143" s="55" t="s">
        <v>50</v>
      </c>
      <c r="E143" s="55" t="s">
        <v>98</v>
      </c>
      <c r="F143" s="799" t="s">
        <v>69</v>
      </c>
      <c r="G143" s="800" t="s">
        <v>44</v>
      </c>
      <c r="H143" s="800" t="s">
        <v>42</v>
      </c>
      <c r="I143" s="801" t="s">
        <v>43</v>
      </c>
      <c r="J143" s="55"/>
      <c r="K143" s="69">
        <f t="shared" ref="K143:M145" si="51">K144</f>
        <v>350</v>
      </c>
      <c r="L143" s="69">
        <f t="shared" si="51"/>
        <v>0</v>
      </c>
      <c r="M143" s="69">
        <f t="shared" si="51"/>
        <v>350</v>
      </c>
    </row>
    <row r="144" spans="1:13" s="52" customFormat="1" ht="36" customHeight="1" x14ac:dyDescent="0.35">
      <c r="A144" s="56"/>
      <c r="B144" s="610" t="s">
        <v>107</v>
      </c>
      <c r="C144" s="68" t="s">
        <v>1</v>
      </c>
      <c r="D144" s="55" t="s">
        <v>50</v>
      </c>
      <c r="E144" s="55" t="s">
        <v>98</v>
      </c>
      <c r="F144" s="799" t="s">
        <v>69</v>
      </c>
      <c r="G144" s="800" t="s">
        <v>44</v>
      </c>
      <c r="H144" s="800" t="s">
        <v>36</v>
      </c>
      <c r="I144" s="801" t="s">
        <v>43</v>
      </c>
      <c r="J144" s="55"/>
      <c r="K144" s="69">
        <f t="shared" si="51"/>
        <v>350</v>
      </c>
      <c r="L144" s="69">
        <f t="shared" si="51"/>
        <v>0</v>
      </c>
      <c r="M144" s="69">
        <f t="shared" si="51"/>
        <v>350</v>
      </c>
    </row>
    <row r="145" spans="1:13" s="163" customFormat="1" ht="36" customHeight="1" x14ac:dyDescent="0.35">
      <c r="A145" s="56"/>
      <c r="B145" s="658" t="s">
        <v>108</v>
      </c>
      <c r="C145" s="68" t="s">
        <v>1</v>
      </c>
      <c r="D145" s="55" t="s">
        <v>50</v>
      </c>
      <c r="E145" s="55" t="s">
        <v>98</v>
      </c>
      <c r="F145" s="799" t="s">
        <v>69</v>
      </c>
      <c r="G145" s="800" t="s">
        <v>44</v>
      </c>
      <c r="H145" s="800" t="s">
        <v>36</v>
      </c>
      <c r="I145" s="801" t="s">
        <v>109</v>
      </c>
      <c r="J145" s="55"/>
      <c r="K145" s="69">
        <f>K146</f>
        <v>350</v>
      </c>
      <c r="L145" s="69">
        <f t="shared" si="51"/>
        <v>0</v>
      </c>
      <c r="M145" s="69">
        <f>M146</f>
        <v>350</v>
      </c>
    </row>
    <row r="146" spans="1:13" s="52" customFormat="1" ht="54" customHeight="1" x14ac:dyDescent="0.35">
      <c r="A146" s="56"/>
      <c r="B146" s="610" t="s">
        <v>53</v>
      </c>
      <c r="C146" s="68" t="s">
        <v>1</v>
      </c>
      <c r="D146" s="55" t="s">
        <v>50</v>
      </c>
      <c r="E146" s="55" t="s">
        <v>98</v>
      </c>
      <c r="F146" s="799" t="s">
        <v>69</v>
      </c>
      <c r="G146" s="800" t="s">
        <v>44</v>
      </c>
      <c r="H146" s="800" t="s">
        <v>36</v>
      </c>
      <c r="I146" s="801" t="s">
        <v>109</v>
      </c>
      <c r="J146" s="55" t="s">
        <v>54</v>
      </c>
      <c r="K146" s="69">
        <v>350</v>
      </c>
      <c r="L146" s="69">
        <f>M146-K146</f>
        <v>0</v>
      </c>
      <c r="M146" s="69">
        <v>350</v>
      </c>
    </row>
    <row r="147" spans="1:13" s="163" customFormat="1" ht="36" customHeight="1" x14ac:dyDescent="0.35">
      <c r="A147" s="56"/>
      <c r="B147" s="658" t="s">
        <v>110</v>
      </c>
      <c r="C147" s="68" t="s">
        <v>1</v>
      </c>
      <c r="D147" s="55" t="s">
        <v>50</v>
      </c>
      <c r="E147" s="55" t="s">
        <v>98</v>
      </c>
      <c r="F147" s="799" t="s">
        <v>69</v>
      </c>
      <c r="G147" s="800" t="s">
        <v>87</v>
      </c>
      <c r="H147" s="800" t="s">
        <v>42</v>
      </c>
      <c r="I147" s="801" t="s">
        <v>43</v>
      </c>
      <c r="J147" s="55"/>
      <c r="K147" s="69">
        <f t="shared" ref="K147:M149" si="52">K148</f>
        <v>726.1</v>
      </c>
      <c r="L147" s="69">
        <f t="shared" si="52"/>
        <v>0</v>
      </c>
      <c r="M147" s="69">
        <f t="shared" si="52"/>
        <v>726.1</v>
      </c>
    </row>
    <row r="148" spans="1:13" s="52" customFormat="1" ht="54" customHeight="1" x14ac:dyDescent="0.35">
      <c r="A148" s="56"/>
      <c r="B148" s="658" t="s">
        <v>111</v>
      </c>
      <c r="C148" s="68" t="s">
        <v>1</v>
      </c>
      <c r="D148" s="55" t="s">
        <v>50</v>
      </c>
      <c r="E148" s="55" t="s">
        <v>98</v>
      </c>
      <c r="F148" s="799" t="s">
        <v>69</v>
      </c>
      <c r="G148" s="800" t="s">
        <v>87</v>
      </c>
      <c r="H148" s="800" t="s">
        <v>36</v>
      </c>
      <c r="I148" s="801" t="s">
        <v>43</v>
      </c>
      <c r="J148" s="55"/>
      <c r="K148" s="69">
        <f t="shared" si="52"/>
        <v>726.1</v>
      </c>
      <c r="L148" s="69">
        <f t="shared" si="52"/>
        <v>0</v>
      </c>
      <c r="M148" s="69">
        <f t="shared" si="52"/>
        <v>726.1</v>
      </c>
    </row>
    <row r="149" spans="1:13" s="163" customFormat="1" ht="87" customHeight="1" x14ac:dyDescent="0.35">
      <c r="A149" s="56"/>
      <c r="B149" s="658" t="s">
        <v>112</v>
      </c>
      <c r="C149" s="68" t="s">
        <v>1</v>
      </c>
      <c r="D149" s="55" t="s">
        <v>50</v>
      </c>
      <c r="E149" s="55" t="s">
        <v>98</v>
      </c>
      <c r="F149" s="799" t="s">
        <v>69</v>
      </c>
      <c r="G149" s="800" t="s">
        <v>87</v>
      </c>
      <c r="H149" s="800" t="s">
        <v>36</v>
      </c>
      <c r="I149" s="801" t="s">
        <v>113</v>
      </c>
      <c r="J149" s="55"/>
      <c r="K149" s="69">
        <f t="shared" si="52"/>
        <v>726.1</v>
      </c>
      <c r="L149" s="69">
        <f t="shared" si="52"/>
        <v>0</v>
      </c>
      <c r="M149" s="69">
        <f t="shared" si="52"/>
        <v>726.1</v>
      </c>
    </row>
    <row r="150" spans="1:13" s="52" customFormat="1" ht="54" customHeight="1" x14ac:dyDescent="0.35">
      <c r="A150" s="56"/>
      <c r="B150" s="610" t="s">
        <v>53</v>
      </c>
      <c r="C150" s="68" t="s">
        <v>1</v>
      </c>
      <c r="D150" s="55" t="s">
        <v>50</v>
      </c>
      <c r="E150" s="55" t="s">
        <v>98</v>
      </c>
      <c r="F150" s="799" t="s">
        <v>69</v>
      </c>
      <c r="G150" s="800" t="s">
        <v>87</v>
      </c>
      <c r="H150" s="800" t="s">
        <v>36</v>
      </c>
      <c r="I150" s="801" t="s">
        <v>113</v>
      </c>
      <c r="J150" s="55" t="s">
        <v>54</v>
      </c>
      <c r="K150" s="69">
        <v>726.1</v>
      </c>
      <c r="L150" s="69">
        <f>M150-K150</f>
        <v>0</v>
      </c>
      <c r="M150" s="69">
        <v>726.1</v>
      </c>
    </row>
    <row r="151" spans="1:13" s="163" customFormat="1" ht="72" customHeight="1" x14ac:dyDescent="0.35">
      <c r="A151" s="56"/>
      <c r="B151" s="610" t="s">
        <v>114</v>
      </c>
      <c r="C151" s="68" t="s">
        <v>1</v>
      </c>
      <c r="D151" s="55" t="s">
        <v>50</v>
      </c>
      <c r="E151" s="55" t="s">
        <v>98</v>
      </c>
      <c r="F151" s="799" t="s">
        <v>86</v>
      </c>
      <c r="G151" s="800" t="s">
        <v>41</v>
      </c>
      <c r="H151" s="800" t="s">
        <v>42</v>
      </c>
      <c r="I151" s="801" t="s">
        <v>43</v>
      </c>
      <c r="J151" s="55"/>
      <c r="K151" s="69">
        <f t="shared" ref="K151:M154" si="53">K152</f>
        <v>50</v>
      </c>
      <c r="L151" s="69">
        <f t="shared" si="53"/>
        <v>0</v>
      </c>
      <c r="M151" s="69">
        <f t="shared" si="53"/>
        <v>50</v>
      </c>
    </row>
    <row r="152" spans="1:13" s="163" customFormat="1" ht="36" customHeight="1" x14ac:dyDescent="0.35">
      <c r="A152" s="56"/>
      <c r="B152" s="610" t="s">
        <v>359</v>
      </c>
      <c r="C152" s="68" t="s">
        <v>1</v>
      </c>
      <c r="D152" s="55" t="s">
        <v>50</v>
      </c>
      <c r="E152" s="55" t="s">
        <v>98</v>
      </c>
      <c r="F152" s="799" t="s">
        <v>86</v>
      </c>
      <c r="G152" s="800" t="s">
        <v>44</v>
      </c>
      <c r="H152" s="800" t="s">
        <v>42</v>
      </c>
      <c r="I152" s="801" t="s">
        <v>43</v>
      </c>
      <c r="J152" s="55"/>
      <c r="K152" s="69">
        <f t="shared" si="53"/>
        <v>50</v>
      </c>
      <c r="L152" s="69">
        <f t="shared" si="53"/>
        <v>0</v>
      </c>
      <c r="M152" s="69">
        <f t="shared" si="53"/>
        <v>50</v>
      </c>
    </row>
    <row r="153" spans="1:13" s="52" customFormat="1" ht="72" customHeight="1" x14ac:dyDescent="0.35">
      <c r="A153" s="56"/>
      <c r="B153" s="658" t="s">
        <v>321</v>
      </c>
      <c r="C153" s="68" t="s">
        <v>1</v>
      </c>
      <c r="D153" s="55" t="s">
        <v>50</v>
      </c>
      <c r="E153" s="55" t="s">
        <v>98</v>
      </c>
      <c r="F153" s="799" t="s">
        <v>86</v>
      </c>
      <c r="G153" s="800" t="s">
        <v>44</v>
      </c>
      <c r="H153" s="800" t="s">
        <v>36</v>
      </c>
      <c r="I153" s="801" t="s">
        <v>43</v>
      </c>
      <c r="J153" s="55"/>
      <c r="K153" s="69">
        <f>K154</f>
        <v>50</v>
      </c>
      <c r="L153" s="69">
        <f t="shared" si="53"/>
        <v>0</v>
      </c>
      <c r="M153" s="69">
        <f>M154</f>
        <v>50</v>
      </c>
    </row>
    <row r="154" spans="1:13" s="163" customFormat="1" ht="54" customHeight="1" x14ac:dyDescent="0.35">
      <c r="A154" s="56"/>
      <c r="B154" s="658" t="s">
        <v>115</v>
      </c>
      <c r="C154" s="68" t="s">
        <v>1</v>
      </c>
      <c r="D154" s="55" t="s">
        <v>50</v>
      </c>
      <c r="E154" s="55" t="s">
        <v>98</v>
      </c>
      <c r="F154" s="799" t="s">
        <v>86</v>
      </c>
      <c r="G154" s="800" t="s">
        <v>44</v>
      </c>
      <c r="H154" s="800" t="s">
        <v>36</v>
      </c>
      <c r="I154" s="801" t="s">
        <v>116</v>
      </c>
      <c r="J154" s="55"/>
      <c r="K154" s="69">
        <f t="shared" si="53"/>
        <v>50</v>
      </c>
      <c r="L154" s="69">
        <f t="shared" si="53"/>
        <v>0</v>
      </c>
      <c r="M154" s="69">
        <f t="shared" si="53"/>
        <v>50</v>
      </c>
    </row>
    <row r="155" spans="1:13" s="52" customFormat="1" ht="54" customHeight="1" x14ac:dyDescent="0.35">
      <c r="A155" s="56"/>
      <c r="B155" s="610" t="s">
        <v>53</v>
      </c>
      <c r="C155" s="68" t="s">
        <v>1</v>
      </c>
      <c r="D155" s="55" t="s">
        <v>50</v>
      </c>
      <c r="E155" s="55" t="s">
        <v>98</v>
      </c>
      <c r="F155" s="799" t="s">
        <v>86</v>
      </c>
      <c r="G155" s="800" t="s">
        <v>44</v>
      </c>
      <c r="H155" s="800" t="s">
        <v>36</v>
      </c>
      <c r="I155" s="801" t="s">
        <v>116</v>
      </c>
      <c r="J155" s="55" t="s">
        <v>54</v>
      </c>
      <c r="K155" s="69">
        <v>50</v>
      </c>
      <c r="L155" s="69">
        <f>M155-K155</f>
        <v>0</v>
      </c>
      <c r="M155" s="69">
        <v>50</v>
      </c>
    </row>
    <row r="156" spans="1:13" s="52" customFormat="1" ht="54" customHeight="1" x14ac:dyDescent="0.35">
      <c r="A156" s="56"/>
      <c r="B156" s="610" t="s">
        <v>39</v>
      </c>
      <c r="C156" s="68" t="s">
        <v>1</v>
      </c>
      <c r="D156" s="55" t="s">
        <v>50</v>
      </c>
      <c r="E156" s="55" t="s">
        <v>98</v>
      </c>
      <c r="F156" s="799" t="s">
        <v>40</v>
      </c>
      <c r="G156" s="800" t="s">
        <v>41</v>
      </c>
      <c r="H156" s="800" t="s">
        <v>42</v>
      </c>
      <c r="I156" s="801" t="s">
        <v>43</v>
      </c>
      <c r="J156" s="55"/>
      <c r="K156" s="69">
        <f t="shared" ref="K156:M159" si="54">K157</f>
        <v>1200</v>
      </c>
      <c r="L156" s="69">
        <f t="shared" si="54"/>
        <v>0</v>
      </c>
      <c r="M156" s="69">
        <f t="shared" si="54"/>
        <v>1200</v>
      </c>
    </row>
    <row r="157" spans="1:13" s="52" customFormat="1" ht="36" customHeight="1" x14ac:dyDescent="0.35">
      <c r="A157" s="56"/>
      <c r="B157" s="610" t="s">
        <v>359</v>
      </c>
      <c r="C157" s="68" t="s">
        <v>1</v>
      </c>
      <c r="D157" s="55" t="s">
        <v>50</v>
      </c>
      <c r="E157" s="55" t="s">
        <v>98</v>
      </c>
      <c r="F157" s="799" t="s">
        <v>40</v>
      </c>
      <c r="G157" s="800" t="s">
        <v>44</v>
      </c>
      <c r="H157" s="800" t="s">
        <v>42</v>
      </c>
      <c r="I157" s="801" t="s">
        <v>43</v>
      </c>
      <c r="J157" s="55"/>
      <c r="K157" s="69">
        <f>K158</f>
        <v>1200</v>
      </c>
      <c r="L157" s="69">
        <f t="shared" si="54"/>
        <v>0</v>
      </c>
      <c r="M157" s="69">
        <f>M158</f>
        <v>1200</v>
      </c>
    </row>
    <row r="158" spans="1:13" s="52" customFormat="1" ht="54" customHeight="1" x14ac:dyDescent="0.35">
      <c r="A158" s="56"/>
      <c r="B158" s="610" t="s">
        <v>351</v>
      </c>
      <c r="C158" s="68" t="s">
        <v>1</v>
      </c>
      <c r="D158" s="55" t="s">
        <v>50</v>
      </c>
      <c r="E158" s="55" t="s">
        <v>98</v>
      </c>
      <c r="F158" s="799" t="s">
        <v>40</v>
      </c>
      <c r="G158" s="800" t="s">
        <v>44</v>
      </c>
      <c r="H158" s="800" t="s">
        <v>86</v>
      </c>
      <c r="I158" s="801" t="s">
        <v>43</v>
      </c>
      <c r="J158" s="55"/>
      <c r="K158" s="69">
        <f>K159</f>
        <v>1200</v>
      </c>
      <c r="L158" s="69">
        <f t="shared" si="54"/>
        <v>0</v>
      </c>
      <c r="M158" s="69">
        <f>M159</f>
        <v>1200</v>
      </c>
    </row>
    <row r="159" spans="1:13" s="52" customFormat="1" ht="54" customHeight="1" x14ac:dyDescent="0.35">
      <c r="A159" s="56"/>
      <c r="B159" s="610" t="s">
        <v>615</v>
      </c>
      <c r="C159" s="68" t="s">
        <v>1</v>
      </c>
      <c r="D159" s="55" t="s">
        <v>50</v>
      </c>
      <c r="E159" s="55" t="s">
        <v>98</v>
      </c>
      <c r="F159" s="799" t="s">
        <v>40</v>
      </c>
      <c r="G159" s="800" t="s">
        <v>44</v>
      </c>
      <c r="H159" s="800" t="s">
        <v>86</v>
      </c>
      <c r="I159" s="801" t="s">
        <v>614</v>
      </c>
      <c r="J159" s="55"/>
      <c r="K159" s="69">
        <f>K160</f>
        <v>1200</v>
      </c>
      <c r="L159" s="69">
        <f t="shared" si="54"/>
        <v>0</v>
      </c>
      <c r="M159" s="69">
        <f>M160</f>
        <v>1200</v>
      </c>
    </row>
    <row r="160" spans="1:13" s="52" customFormat="1" ht="54" customHeight="1" x14ac:dyDescent="0.35">
      <c r="A160" s="56"/>
      <c r="B160" s="610" t="s">
        <v>53</v>
      </c>
      <c r="C160" s="68" t="s">
        <v>1</v>
      </c>
      <c r="D160" s="55" t="s">
        <v>50</v>
      </c>
      <c r="E160" s="55" t="s">
        <v>98</v>
      </c>
      <c r="F160" s="799" t="s">
        <v>40</v>
      </c>
      <c r="G160" s="800" t="s">
        <v>44</v>
      </c>
      <c r="H160" s="800" t="s">
        <v>86</v>
      </c>
      <c r="I160" s="801" t="s">
        <v>614</v>
      </c>
      <c r="J160" s="55" t="s">
        <v>54</v>
      </c>
      <c r="K160" s="69">
        <f>1164+36</f>
        <v>1200</v>
      </c>
      <c r="L160" s="69">
        <f>M160-K160</f>
        <v>0</v>
      </c>
      <c r="M160" s="69">
        <f>1164+36</f>
        <v>1200</v>
      </c>
    </row>
    <row r="161" spans="1:13" s="52" customFormat="1" ht="18" customHeight="1" x14ac:dyDescent="0.35">
      <c r="A161" s="56"/>
      <c r="B161" s="610" t="s">
        <v>175</v>
      </c>
      <c r="C161" s="68" t="s">
        <v>1</v>
      </c>
      <c r="D161" s="55" t="s">
        <v>63</v>
      </c>
      <c r="E161" s="55"/>
      <c r="F161" s="799"/>
      <c r="G161" s="800"/>
      <c r="H161" s="800"/>
      <c r="I161" s="801"/>
      <c r="J161" s="55"/>
      <c r="K161" s="313">
        <f>K162</f>
        <v>6131.1</v>
      </c>
      <c r="L161" s="313">
        <f t="shared" ref="L161" si="55">L162</f>
        <v>0</v>
      </c>
      <c r="M161" s="313">
        <f>M162</f>
        <v>6131.1</v>
      </c>
    </row>
    <row r="162" spans="1:13" s="52" customFormat="1" ht="18" customHeight="1" x14ac:dyDescent="0.35">
      <c r="A162" s="56"/>
      <c r="B162" s="696" t="s">
        <v>591</v>
      </c>
      <c r="C162" s="68" t="s">
        <v>1</v>
      </c>
      <c r="D162" s="55" t="s">
        <v>63</v>
      </c>
      <c r="E162" s="55" t="s">
        <v>61</v>
      </c>
      <c r="F162" s="799"/>
      <c r="G162" s="800"/>
      <c r="H162" s="800"/>
      <c r="I162" s="801"/>
      <c r="J162" s="55"/>
      <c r="K162" s="69">
        <f t="shared" ref="K162:M166" si="56">K163</f>
        <v>6131.1</v>
      </c>
      <c r="L162" s="69">
        <f t="shared" si="56"/>
        <v>0</v>
      </c>
      <c r="M162" s="69">
        <f t="shared" si="56"/>
        <v>6131.1</v>
      </c>
    </row>
    <row r="163" spans="1:13" s="52" customFormat="1" ht="72" customHeight="1" x14ac:dyDescent="0.35">
      <c r="A163" s="56"/>
      <c r="B163" s="696" t="s">
        <v>592</v>
      </c>
      <c r="C163" s="68" t="s">
        <v>1</v>
      </c>
      <c r="D163" s="55" t="s">
        <v>63</v>
      </c>
      <c r="E163" s="55" t="s">
        <v>61</v>
      </c>
      <c r="F163" s="799" t="s">
        <v>102</v>
      </c>
      <c r="G163" s="800" t="s">
        <v>41</v>
      </c>
      <c r="H163" s="800" t="s">
        <v>42</v>
      </c>
      <c r="I163" s="801" t="s">
        <v>43</v>
      </c>
      <c r="J163" s="55"/>
      <c r="K163" s="69">
        <f t="shared" si="56"/>
        <v>6131.1</v>
      </c>
      <c r="L163" s="69">
        <f t="shared" si="56"/>
        <v>0</v>
      </c>
      <c r="M163" s="69">
        <f t="shared" si="56"/>
        <v>6131.1</v>
      </c>
    </row>
    <row r="164" spans="1:13" s="52" customFormat="1" ht="54" customHeight="1" x14ac:dyDescent="0.35">
      <c r="A164" s="56"/>
      <c r="B164" s="696" t="s">
        <v>587</v>
      </c>
      <c r="C164" s="68" t="s">
        <v>1</v>
      </c>
      <c r="D164" s="55" t="s">
        <v>63</v>
      </c>
      <c r="E164" s="55" t="s">
        <v>61</v>
      </c>
      <c r="F164" s="799" t="s">
        <v>102</v>
      </c>
      <c r="G164" s="800" t="s">
        <v>33</v>
      </c>
      <c r="H164" s="800" t="s">
        <v>42</v>
      </c>
      <c r="I164" s="801" t="s">
        <v>43</v>
      </c>
      <c r="J164" s="55"/>
      <c r="K164" s="69">
        <f t="shared" si="56"/>
        <v>6131.1</v>
      </c>
      <c r="L164" s="69">
        <f t="shared" si="56"/>
        <v>0</v>
      </c>
      <c r="M164" s="69">
        <f t="shared" si="56"/>
        <v>6131.1</v>
      </c>
    </row>
    <row r="165" spans="1:13" s="52" customFormat="1" ht="54" customHeight="1" x14ac:dyDescent="0.35">
      <c r="A165" s="56"/>
      <c r="B165" s="696" t="s">
        <v>588</v>
      </c>
      <c r="C165" s="68" t="s">
        <v>1</v>
      </c>
      <c r="D165" s="55" t="s">
        <v>63</v>
      </c>
      <c r="E165" s="55" t="s">
        <v>61</v>
      </c>
      <c r="F165" s="799" t="s">
        <v>102</v>
      </c>
      <c r="G165" s="800" t="s">
        <v>33</v>
      </c>
      <c r="H165" s="800" t="s">
        <v>36</v>
      </c>
      <c r="I165" s="801" t="s">
        <v>43</v>
      </c>
      <c r="J165" s="55"/>
      <c r="K165" s="69">
        <f t="shared" si="56"/>
        <v>6131.1</v>
      </c>
      <c r="L165" s="69">
        <f t="shared" si="56"/>
        <v>0</v>
      </c>
      <c r="M165" s="69">
        <f t="shared" si="56"/>
        <v>6131.1</v>
      </c>
    </row>
    <row r="166" spans="1:13" s="52" customFormat="1" ht="36" customHeight="1" x14ac:dyDescent="0.35">
      <c r="A166" s="56"/>
      <c r="B166" s="696" t="s">
        <v>589</v>
      </c>
      <c r="C166" s="68" t="s">
        <v>1</v>
      </c>
      <c r="D166" s="55" t="s">
        <v>63</v>
      </c>
      <c r="E166" s="55" t="s">
        <v>61</v>
      </c>
      <c r="F166" s="799" t="s">
        <v>102</v>
      </c>
      <c r="G166" s="800" t="s">
        <v>33</v>
      </c>
      <c r="H166" s="800" t="s">
        <v>36</v>
      </c>
      <c r="I166" s="801" t="s">
        <v>590</v>
      </c>
      <c r="J166" s="55"/>
      <c r="K166" s="69">
        <f t="shared" si="56"/>
        <v>6131.1</v>
      </c>
      <c r="L166" s="69">
        <f t="shared" si="56"/>
        <v>0</v>
      </c>
      <c r="M166" s="69">
        <f t="shared" si="56"/>
        <v>6131.1</v>
      </c>
    </row>
    <row r="167" spans="1:13" s="52" customFormat="1" ht="54" customHeight="1" x14ac:dyDescent="0.35">
      <c r="A167" s="56"/>
      <c r="B167" s="696" t="s">
        <v>53</v>
      </c>
      <c r="C167" s="68" t="s">
        <v>1</v>
      </c>
      <c r="D167" s="55" t="s">
        <v>63</v>
      </c>
      <c r="E167" s="55" t="s">
        <v>61</v>
      </c>
      <c r="F167" s="799" t="s">
        <v>102</v>
      </c>
      <c r="G167" s="800" t="s">
        <v>33</v>
      </c>
      <c r="H167" s="800" t="s">
        <v>36</v>
      </c>
      <c r="I167" s="801" t="s">
        <v>590</v>
      </c>
      <c r="J167" s="55" t="s">
        <v>54</v>
      </c>
      <c r="K167" s="69">
        <v>6131.1</v>
      </c>
      <c r="L167" s="69">
        <f>M167-K167</f>
        <v>0</v>
      </c>
      <c r="M167" s="69">
        <v>6131.1</v>
      </c>
    </row>
    <row r="168" spans="1:13" s="52" customFormat="1" ht="18" customHeight="1" x14ac:dyDescent="0.35">
      <c r="A168" s="56"/>
      <c r="B168" s="610" t="s">
        <v>177</v>
      </c>
      <c r="C168" s="68" t="s">
        <v>1</v>
      </c>
      <c r="D168" s="55" t="s">
        <v>221</v>
      </c>
      <c r="E168" s="55"/>
      <c r="F168" s="799"/>
      <c r="G168" s="800"/>
      <c r="H168" s="800"/>
      <c r="I168" s="801"/>
      <c r="J168" s="55"/>
      <c r="K168" s="69">
        <f>K169</f>
        <v>191.6</v>
      </c>
      <c r="L168" s="69">
        <f t="shared" ref="L168" si="57">L169</f>
        <v>7.7</v>
      </c>
      <c r="M168" s="69">
        <f>M169</f>
        <v>199.29999999999998</v>
      </c>
    </row>
    <row r="169" spans="1:13" s="52" customFormat="1" ht="36" customHeight="1" x14ac:dyDescent="0.35">
      <c r="A169" s="56"/>
      <c r="B169" s="610" t="s">
        <v>542</v>
      </c>
      <c r="C169" s="68" t="s">
        <v>1</v>
      </c>
      <c r="D169" s="55" t="s">
        <v>221</v>
      </c>
      <c r="E169" s="55" t="s">
        <v>63</v>
      </c>
      <c r="F169" s="799"/>
      <c r="G169" s="800"/>
      <c r="H169" s="800"/>
      <c r="I169" s="801"/>
      <c r="J169" s="55"/>
      <c r="K169" s="69">
        <f t="shared" ref="K169:M173" si="58">K170</f>
        <v>191.6</v>
      </c>
      <c r="L169" s="69">
        <f t="shared" si="58"/>
        <v>7.7</v>
      </c>
      <c r="M169" s="69">
        <f t="shared" si="58"/>
        <v>199.29999999999998</v>
      </c>
    </row>
    <row r="170" spans="1:13" s="52" customFormat="1" ht="54" customHeight="1" x14ac:dyDescent="0.35">
      <c r="A170" s="56"/>
      <c r="B170" s="610" t="s">
        <v>39</v>
      </c>
      <c r="C170" s="68" t="s">
        <v>1</v>
      </c>
      <c r="D170" s="55" t="s">
        <v>221</v>
      </c>
      <c r="E170" s="55" t="s">
        <v>63</v>
      </c>
      <c r="F170" s="799" t="s">
        <v>40</v>
      </c>
      <c r="G170" s="800" t="s">
        <v>41</v>
      </c>
      <c r="H170" s="800" t="s">
        <v>42</v>
      </c>
      <c r="I170" s="801" t="s">
        <v>43</v>
      </c>
      <c r="J170" s="55"/>
      <c r="K170" s="69">
        <f t="shared" si="58"/>
        <v>191.6</v>
      </c>
      <c r="L170" s="69">
        <f t="shared" si="58"/>
        <v>7.7</v>
      </c>
      <c r="M170" s="69">
        <f t="shared" si="58"/>
        <v>199.29999999999998</v>
      </c>
    </row>
    <row r="171" spans="1:13" s="52" customFormat="1" ht="36" customHeight="1" x14ac:dyDescent="0.35">
      <c r="A171" s="56"/>
      <c r="B171" s="610" t="s">
        <v>359</v>
      </c>
      <c r="C171" s="68" t="s">
        <v>1</v>
      </c>
      <c r="D171" s="55" t="s">
        <v>221</v>
      </c>
      <c r="E171" s="55" t="s">
        <v>63</v>
      </c>
      <c r="F171" s="799" t="s">
        <v>40</v>
      </c>
      <c r="G171" s="800" t="s">
        <v>44</v>
      </c>
      <c r="H171" s="800" t="s">
        <v>42</v>
      </c>
      <c r="I171" s="801" t="s">
        <v>43</v>
      </c>
      <c r="J171" s="55"/>
      <c r="K171" s="69">
        <f t="shared" si="58"/>
        <v>191.6</v>
      </c>
      <c r="L171" s="69">
        <f>L172+L175</f>
        <v>7.7</v>
      </c>
      <c r="M171" s="69">
        <f>M172+M175</f>
        <v>199.29999999999998</v>
      </c>
    </row>
    <row r="172" spans="1:13" s="52" customFormat="1" ht="18" customHeight="1" x14ac:dyDescent="0.35">
      <c r="A172" s="56"/>
      <c r="B172" s="610" t="s">
        <v>60</v>
      </c>
      <c r="C172" s="68" t="s">
        <v>1</v>
      </c>
      <c r="D172" s="55" t="s">
        <v>221</v>
      </c>
      <c r="E172" s="55" t="s">
        <v>63</v>
      </c>
      <c r="F172" s="799" t="s">
        <v>40</v>
      </c>
      <c r="G172" s="800" t="s">
        <v>44</v>
      </c>
      <c r="H172" s="800" t="s">
        <v>61</v>
      </c>
      <c r="I172" s="801" t="s">
        <v>43</v>
      </c>
      <c r="J172" s="55"/>
      <c r="K172" s="69">
        <f t="shared" si="58"/>
        <v>191.6</v>
      </c>
      <c r="L172" s="69">
        <f t="shared" si="58"/>
        <v>0</v>
      </c>
      <c r="M172" s="69">
        <f t="shared" si="58"/>
        <v>191.6</v>
      </c>
    </row>
    <row r="173" spans="1:13" s="52" customFormat="1" ht="36" customHeight="1" x14ac:dyDescent="0.35">
      <c r="A173" s="56"/>
      <c r="B173" s="610" t="s">
        <v>544</v>
      </c>
      <c r="C173" s="68" t="s">
        <v>1</v>
      </c>
      <c r="D173" s="55" t="s">
        <v>221</v>
      </c>
      <c r="E173" s="55" t="s">
        <v>63</v>
      </c>
      <c r="F173" s="799" t="s">
        <v>40</v>
      </c>
      <c r="G173" s="800" t="s">
        <v>44</v>
      </c>
      <c r="H173" s="800" t="s">
        <v>61</v>
      </c>
      <c r="I173" s="801" t="s">
        <v>543</v>
      </c>
      <c r="J173" s="55"/>
      <c r="K173" s="69">
        <f t="shared" si="58"/>
        <v>191.6</v>
      </c>
      <c r="L173" s="69">
        <f t="shared" si="58"/>
        <v>0</v>
      </c>
      <c r="M173" s="69">
        <f t="shared" si="58"/>
        <v>191.6</v>
      </c>
    </row>
    <row r="174" spans="1:13" s="52" customFormat="1" ht="54" customHeight="1" x14ac:dyDescent="0.35">
      <c r="A174" s="56"/>
      <c r="B174" s="610" t="s">
        <v>53</v>
      </c>
      <c r="C174" s="68" t="s">
        <v>1</v>
      </c>
      <c r="D174" s="55" t="s">
        <v>221</v>
      </c>
      <c r="E174" s="55" t="s">
        <v>63</v>
      </c>
      <c r="F174" s="799" t="s">
        <v>40</v>
      </c>
      <c r="G174" s="800" t="s">
        <v>44</v>
      </c>
      <c r="H174" s="800" t="s">
        <v>61</v>
      </c>
      <c r="I174" s="801" t="s">
        <v>543</v>
      </c>
      <c r="J174" s="55" t="s">
        <v>54</v>
      </c>
      <c r="K174" s="69">
        <f>64.3+127.3</f>
        <v>191.6</v>
      </c>
      <c r="L174" s="69">
        <f>M174-K174</f>
        <v>0</v>
      </c>
      <c r="M174" s="69">
        <f>64.3+127.3</f>
        <v>191.6</v>
      </c>
    </row>
    <row r="175" spans="1:13" s="52" customFormat="1" ht="90" x14ac:dyDescent="0.35">
      <c r="A175" s="56"/>
      <c r="B175" s="610" t="s">
        <v>579</v>
      </c>
      <c r="C175" s="68" t="s">
        <v>1</v>
      </c>
      <c r="D175" s="55" t="s">
        <v>221</v>
      </c>
      <c r="E175" s="55" t="s">
        <v>63</v>
      </c>
      <c r="F175" s="799" t="s">
        <v>40</v>
      </c>
      <c r="G175" s="800" t="s">
        <v>44</v>
      </c>
      <c r="H175" s="800" t="s">
        <v>577</v>
      </c>
      <c r="I175" s="801" t="s">
        <v>43</v>
      </c>
      <c r="J175" s="55"/>
      <c r="K175" s="69"/>
      <c r="L175" s="69">
        <f>L176</f>
        <v>7.7</v>
      </c>
      <c r="M175" s="69">
        <f>M176</f>
        <v>7.7</v>
      </c>
    </row>
    <row r="176" spans="1:13" s="52" customFormat="1" ht="54" customHeight="1" x14ac:dyDescent="0.35">
      <c r="A176" s="56"/>
      <c r="B176" s="642" t="s">
        <v>484</v>
      </c>
      <c r="C176" s="68" t="s">
        <v>1</v>
      </c>
      <c r="D176" s="55" t="s">
        <v>221</v>
      </c>
      <c r="E176" s="55" t="s">
        <v>63</v>
      </c>
      <c r="F176" s="799" t="s">
        <v>40</v>
      </c>
      <c r="G176" s="800" t="s">
        <v>44</v>
      </c>
      <c r="H176" s="800" t="s">
        <v>577</v>
      </c>
      <c r="I176" s="801" t="s">
        <v>89</v>
      </c>
      <c r="J176" s="55"/>
      <c r="K176" s="69"/>
      <c r="L176" s="69">
        <f>L177</f>
        <v>7.7</v>
      </c>
      <c r="M176" s="69">
        <f>M177</f>
        <v>7.7</v>
      </c>
    </row>
    <row r="177" spans="1:13" s="52" customFormat="1" ht="54" customHeight="1" x14ac:dyDescent="0.35">
      <c r="A177" s="56"/>
      <c r="B177" s="610" t="s">
        <v>53</v>
      </c>
      <c r="C177" s="68" t="s">
        <v>1</v>
      </c>
      <c r="D177" s="55" t="s">
        <v>221</v>
      </c>
      <c r="E177" s="55" t="s">
        <v>63</v>
      </c>
      <c r="F177" s="799" t="s">
        <v>40</v>
      </c>
      <c r="G177" s="800" t="s">
        <v>44</v>
      </c>
      <c r="H177" s="800" t="s">
        <v>577</v>
      </c>
      <c r="I177" s="801" t="s">
        <v>89</v>
      </c>
      <c r="J177" s="55" t="s">
        <v>54</v>
      </c>
      <c r="K177" s="69"/>
      <c r="L177" s="69">
        <f>M177-K177</f>
        <v>7.7</v>
      </c>
      <c r="M177" s="69">
        <v>7.7</v>
      </c>
    </row>
    <row r="178" spans="1:13" s="163" customFormat="1" ht="18" customHeight="1" x14ac:dyDescent="0.35">
      <c r="A178" s="56"/>
      <c r="B178" s="610" t="s">
        <v>117</v>
      </c>
      <c r="C178" s="68" t="s">
        <v>1</v>
      </c>
      <c r="D178" s="55" t="s">
        <v>102</v>
      </c>
      <c r="E178" s="55"/>
      <c r="F178" s="799"/>
      <c r="G178" s="800"/>
      <c r="H178" s="800"/>
      <c r="I178" s="801"/>
      <c r="J178" s="55"/>
      <c r="K178" s="69">
        <f>K179+K191</f>
        <v>5251.1</v>
      </c>
      <c r="L178" s="69">
        <f>L179+L185+L191</f>
        <v>2779.5</v>
      </c>
      <c r="M178" s="69">
        <f>M179+M185+M191</f>
        <v>8030.6</v>
      </c>
    </row>
    <row r="179" spans="1:13" s="163" customFormat="1" ht="18" customHeight="1" x14ac:dyDescent="0.35">
      <c r="A179" s="56"/>
      <c r="B179" s="610" t="s">
        <v>375</v>
      </c>
      <c r="C179" s="68" t="s">
        <v>1</v>
      </c>
      <c r="D179" s="55" t="s">
        <v>102</v>
      </c>
      <c r="E179" s="55" t="s">
        <v>36</v>
      </c>
      <c r="F179" s="799"/>
      <c r="G179" s="800"/>
      <c r="H179" s="800"/>
      <c r="I179" s="801"/>
      <c r="J179" s="55"/>
      <c r="K179" s="69">
        <f t="shared" ref="K179:M183" si="59">K180</f>
        <v>1846.5</v>
      </c>
      <c r="L179" s="69">
        <f t="shared" si="59"/>
        <v>0</v>
      </c>
      <c r="M179" s="69">
        <f t="shared" si="59"/>
        <v>1846.5</v>
      </c>
    </row>
    <row r="180" spans="1:13" s="163" customFormat="1" ht="54" customHeight="1" x14ac:dyDescent="0.35">
      <c r="A180" s="56"/>
      <c r="B180" s="660" t="s">
        <v>309</v>
      </c>
      <c r="C180" s="68" t="s">
        <v>1</v>
      </c>
      <c r="D180" s="55" t="s">
        <v>102</v>
      </c>
      <c r="E180" s="55" t="s">
        <v>36</v>
      </c>
      <c r="F180" s="799" t="s">
        <v>77</v>
      </c>
      <c r="G180" s="800" t="s">
        <v>41</v>
      </c>
      <c r="H180" s="800" t="s">
        <v>42</v>
      </c>
      <c r="I180" s="801" t="s">
        <v>43</v>
      </c>
      <c r="J180" s="55"/>
      <c r="K180" s="69">
        <f t="shared" si="59"/>
        <v>1846.5</v>
      </c>
      <c r="L180" s="69">
        <f t="shared" si="59"/>
        <v>0</v>
      </c>
      <c r="M180" s="69">
        <f t="shared" si="59"/>
        <v>1846.5</v>
      </c>
    </row>
    <row r="181" spans="1:13" s="163" customFormat="1" ht="36" customHeight="1" x14ac:dyDescent="0.35">
      <c r="A181" s="56"/>
      <c r="B181" s="610" t="s">
        <v>359</v>
      </c>
      <c r="C181" s="68" t="s">
        <v>1</v>
      </c>
      <c r="D181" s="55" t="s">
        <v>102</v>
      </c>
      <c r="E181" s="55" t="s">
        <v>36</v>
      </c>
      <c r="F181" s="799" t="s">
        <v>77</v>
      </c>
      <c r="G181" s="800" t="s">
        <v>44</v>
      </c>
      <c r="H181" s="800" t="s">
        <v>42</v>
      </c>
      <c r="I181" s="801" t="s">
        <v>43</v>
      </c>
      <c r="J181" s="55"/>
      <c r="K181" s="69">
        <f t="shared" si="59"/>
        <v>1846.5</v>
      </c>
      <c r="L181" s="69">
        <f t="shared" si="59"/>
        <v>0</v>
      </c>
      <c r="M181" s="69">
        <f t="shared" si="59"/>
        <v>1846.5</v>
      </c>
    </row>
    <row r="182" spans="1:13" s="163" customFormat="1" ht="90" customHeight="1" x14ac:dyDescent="0.35">
      <c r="A182" s="56"/>
      <c r="B182" s="642" t="s">
        <v>468</v>
      </c>
      <c r="C182" s="68" t="s">
        <v>1</v>
      </c>
      <c r="D182" s="55" t="s">
        <v>102</v>
      </c>
      <c r="E182" s="55" t="s">
        <v>36</v>
      </c>
      <c r="F182" s="799" t="s">
        <v>77</v>
      </c>
      <c r="G182" s="800" t="s">
        <v>44</v>
      </c>
      <c r="H182" s="800" t="s">
        <v>50</v>
      </c>
      <c r="I182" s="801" t="s">
        <v>43</v>
      </c>
      <c r="J182" s="55"/>
      <c r="K182" s="69">
        <f t="shared" si="59"/>
        <v>1846.5</v>
      </c>
      <c r="L182" s="69">
        <f t="shared" si="59"/>
        <v>0</v>
      </c>
      <c r="M182" s="69">
        <f t="shared" si="59"/>
        <v>1846.5</v>
      </c>
    </row>
    <row r="183" spans="1:13" s="163" customFormat="1" ht="72" customHeight="1" x14ac:dyDescent="0.35">
      <c r="A183" s="56"/>
      <c r="B183" s="642" t="s">
        <v>464</v>
      </c>
      <c r="C183" s="68" t="s">
        <v>1</v>
      </c>
      <c r="D183" s="55" t="s">
        <v>102</v>
      </c>
      <c r="E183" s="55" t="s">
        <v>36</v>
      </c>
      <c r="F183" s="799" t="s">
        <v>77</v>
      </c>
      <c r="G183" s="800" t="s">
        <v>44</v>
      </c>
      <c r="H183" s="800" t="s">
        <v>50</v>
      </c>
      <c r="I183" s="801" t="s">
        <v>376</v>
      </c>
      <c r="J183" s="55"/>
      <c r="K183" s="69">
        <f t="shared" si="59"/>
        <v>1846.5</v>
      </c>
      <c r="L183" s="69">
        <f t="shared" si="59"/>
        <v>0</v>
      </c>
      <c r="M183" s="69">
        <f t="shared" si="59"/>
        <v>1846.5</v>
      </c>
    </row>
    <row r="184" spans="1:13" s="163" customFormat="1" ht="36" customHeight="1" x14ac:dyDescent="0.35">
      <c r="A184" s="56"/>
      <c r="B184" s="617" t="s">
        <v>118</v>
      </c>
      <c r="C184" s="68" t="s">
        <v>1</v>
      </c>
      <c r="D184" s="55" t="s">
        <v>102</v>
      </c>
      <c r="E184" s="55" t="s">
        <v>36</v>
      </c>
      <c r="F184" s="799" t="s">
        <v>77</v>
      </c>
      <c r="G184" s="800" t="s">
        <v>44</v>
      </c>
      <c r="H184" s="800" t="s">
        <v>50</v>
      </c>
      <c r="I184" s="801" t="s">
        <v>376</v>
      </c>
      <c r="J184" s="55" t="s">
        <v>119</v>
      </c>
      <c r="K184" s="69">
        <f>3000-1200+46.5</f>
        <v>1846.5</v>
      </c>
      <c r="L184" s="69">
        <f>M184-K184</f>
        <v>0</v>
      </c>
      <c r="M184" s="69">
        <f>3000-1200+46.5</f>
        <v>1846.5</v>
      </c>
    </row>
    <row r="185" spans="1:13" s="163" customFormat="1" ht="36" customHeight="1" x14ac:dyDescent="0.35">
      <c r="A185" s="56"/>
      <c r="B185" s="610" t="s">
        <v>746</v>
      </c>
      <c r="C185" s="68" t="s">
        <v>1</v>
      </c>
      <c r="D185" s="55" t="s">
        <v>102</v>
      </c>
      <c r="E185" s="55" t="s">
        <v>61</v>
      </c>
      <c r="F185" s="799"/>
      <c r="G185" s="800"/>
      <c r="H185" s="800"/>
      <c r="I185" s="801"/>
      <c r="J185" s="55"/>
      <c r="K185" s="69"/>
      <c r="L185" s="69">
        <f t="shared" ref="L185:M189" si="60">L186</f>
        <v>2779.5</v>
      </c>
      <c r="M185" s="69">
        <f t="shared" si="60"/>
        <v>2779.5</v>
      </c>
    </row>
    <row r="186" spans="1:13" s="163" customFormat="1" ht="36" customHeight="1" x14ac:dyDescent="0.35">
      <c r="A186" s="56"/>
      <c r="B186" s="660" t="s">
        <v>309</v>
      </c>
      <c r="C186" s="68" t="s">
        <v>1</v>
      </c>
      <c r="D186" s="55" t="s">
        <v>102</v>
      </c>
      <c r="E186" s="55" t="s">
        <v>61</v>
      </c>
      <c r="F186" s="799" t="s">
        <v>77</v>
      </c>
      <c r="G186" s="800" t="s">
        <v>41</v>
      </c>
      <c r="H186" s="800" t="s">
        <v>42</v>
      </c>
      <c r="I186" s="801" t="s">
        <v>43</v>
      </c>
      <c r="J186" s="55"/>
      <c r="K186" s="69"/>
      <c r="L186" s="69">
        <f t="shared" si="60"/>
        <v>2779.5</v>
      </c>
      <c r="M186" s="69">
        <f t="shared" si="60"/>
        <v>2779.5</v>
      </c>
    </row>
    <row r="187" spans="1:13" s="163" customFormat="1" ht="36" customHeight="1" x14ac:dyDescent="0.35">
      <c r="A187" s="56"/>
      <c r="B187" s="610" t="s">
        <v>359</v>
      </c>
      <c r="C187" s="68" t="s">
        <v>1</v>
      </c>
      <c r="D187" s="55" t="s">
        <v>102</v>
      </c>
      <c r="E187" s="55" t="s">
        <v>61</v>
      </c>
      <c r="F187" s="799" t="s">
        <v>77</v>
      </c>
      <c r="G187" s="800" t="s">
        <v>44</v>
      </c>
      <c r="H187" s="800" t="s">
        <v>42</v>
      </c>
      <c r="I187" s="801" t="s">
        <v>43</v>
      </c>
      <c r="J187" s="55"/>
      <c r="K187" s="69"/>
      <c r="L187" s="69">
        <f t="shared" si="60"/>
        <v>2779.5</v>
      </c>
      <c r="M187" s="69">
        <f t="shared" si="60"/>
        <v>2779.5</v>
      </c>
    </row>
    <row r="188" spans="1:13" s="163" customFormat="1" ht="36" customHeight="1" x14ac:dyDescent="0.35">
      <c r="A188" s="56"/>
      <c r="B188" s="615" t="s">
        <v>747</v>
      </c>
      <c r="C188" s="68" t="s">
        <v>1</v>
      </c>
      <c r="D188" s="55" t="s">
        <v>102</v>
      </c>
      <c r="E188" s="55" t="s">
        <v>61</v>
      </c>
      <c r="F188" s="799" t="s">
        <v>77</v>
      </c>
      <c r="G188" s="800" t="s">
        <v>44</v>
      </c>
      <c r="H188" s="800" t="s">
        <v>223</v>
      </c>
      <c r="I188" s="801" t="s">
        <v>43</v>
      </c>
      <c r="J188" s="55"/>
      <c r="K188" s="69"/>
      <c r="L188" s="69">
        <f t="shared" si="60"/>
        <v>2779.5</v>
      </c>
      <c r="M188" s="69">
        <f t="shared" si="60"/>
        <v>2779.5</v>
      </c>
    </row>
    <row r="189" spans="1:13" s="163" customFormat="1" ht="36" customHeight="1" x14ac:dyDescent="0.35">
      <c r="A189" s="56"/>
      <c r="B189" s="615" t="s">
        <v>748</v>
      </c>
      <c r="C189" s="68" t="s">
        <v>1</v>
      </c>
      <c r="D189" s="55" t="s">
        <v>102</v>
      </c>
      <c r="E189" s="55" t="s">
        <v>61</v>
      </c>
      <c r="F189" s="799" t="s">
        <v>77</v>
      </c>
      <c r="G189" s="800" t="s">
        <v>44</v>
      </c>
      <c r="H189" s="800" t="s">
        <v>223</v>
      </c>
      <c r="I189" s="801" t="s">
        <v>749</v>
      </c>
      <c r="J189" s="55"/>
      <c r="K189" s="69"/>
      <c r="L189" s="69">
        <f t="shared" si="60"/>
        <v>2779.5</v>
      </c>
      <c r="M189" s="69">
        <f t="shared" si="60"/>
        <v>2779.5</v>
      </c>
    </row>
    <row r="190" spans="1:13" s="163" customFormat="1" ht="36" customHeight="1" x14ac:dyDescent="0.35">
      <c r="A190" s="56"/>
      <c r="B190" s="609" t="s">
        <v>118</v>
      </c>
      <c r="C190" s="68" t="s">
        <v>1</v>
      </c>
      <c r="D190" s="55" t="s">
        <v>102</v>
      </c>
      <c r="E190" s="55" t="s">
        <v>61</v>
      </c>
      <c r="F190" s="799" t="s">
        <v>77</v>
      </c>
      <c r="G190" s="800" t="s">
        <v>44</v>
      </c>
      <c r="H190" s="800" t="s">
        <v>223</v>
      </c>
      <c r="I190" s="801" t="s">
        <v>749</v>
      </c>
      <c r="J190" s="55" t="s">
        <v>119</v>
      </c>
      <c r="K190" s="69"/>
      <c r="L190" s="69">
        <f>M190-K190</f>
        <v>2779.5</v>
      </c>
      <c r="M190" s="69">
        <v>2779.5</v>
      </c>
    </row>
    <row r="191" spans="1:13" s="163" customFormat="1" ht="36" customHeight="1" x14ac:dyDescent="0.35">
      <c r="A191" s="56"/>
      <c r="B191" s="610" t="s">
        <v>120</v>
      </c>
      <c r="C191" s="68" t="s">
        <v>1</v>
      </c>
      <c r="D191" s="55" t="s">
        <v>102</v>
      </c>
      <c r="E191" s="55" t="s">
        <v>79</v>
      </c>
      <c r="F191" s="799"/>
      <c r="G191" s="800"/>
      <c r="H191" s="800"/>
      <c r="I191" s="801"/>
      <c r="J191" s="55"/>
      <c r="K191" s="69">
        <f>K192</f>
        <v>3404.6</v>
      </c>
      <c r="L191" s="69">
        <f t="shared" ref="L191" si="61">L192</f>
        <v>0</v>
      </c>
      <c r="M191" s="69">
        <f>M192</f>
        <v>3404.6</v>
      </c>
    </row>
    <row r="192" spans="1:13" s="163" customFormat="1" ht="72" customHeight="1" x14ac:dyDescent="0.35">
      <c r="A192" s="56"/>
      <c r="B192" s="610" t="s">
        <v>70</v>
      </c>
      <c r="C192" s="68" t="s">
        <v>1</v>
      </c>
      <c r="D192" s="55" t="s">
        <v>102</v>
      </c>
      <c r="E192" s="55" t="s">
        <v>79</v>
      </c>
      <c r="F192" s="799" t="s">
        <v>71</v>
      </c>
      <c r="G192" s="800" t="s">
        <v>41</v>
      </c>
      <c r="H192" s="800" t="s">
        <v>42</v>
      </c>
      <c r="I192" s="801" t="s">
        <v>43</v>
      </c>
      <c r="J192" s="55"/>
      <c r="K192" s="69">
        <f t="shared" ref="K192:M195" si="62">K193</f>
        <v>3404.6</v>
      </c>
      <c r="L192" s="69">
        <f t="shared" si="62"/>
        <v>0</v>
      </c>
      <c r="M192" s="69">
        <f t="shared" si="62"/>
        <v>3404.6</v>
      </c>
    </row>
    <row r="193" spans="1:13" s="163" customFormat="1" ht="36" customHeight="1" x14ac:dyDescent="0.35">
      <c r="A193" s="56"/>
      <c r="B193" s="610" t="s">
        <v>359</v>
      </c>
      <c r="C193" s="68" t="s">
        <v>1</v>
      </c>
      <c r="D193" s="55" t="s">
        <v>102</v>
      </c>
      <c r="E193" s="55" t="s">
        <v>79</v>
      </c>
      <c r="F193" s="799" t="s">
        <v>71</v>
      </c>
      <c r="G193" s="800" t="s">
        <v>44</v>
      </c>
      <c r="H193" s="800" t="s">
        <v>42</v>
      </c>
      <c r="I193" s="801" t="s">
        <v>43</v>
      </c>
      <c r="J193" s="55"/>
      <c r="K193" s="69">
        <f t="shared" si="62"/>
        <v>3404.6</v>
      </c>
      <c r="L193" s="69">
        <f t="shared" si="62"/>
        <v>0</v>
      </c>
      <c r="M193" s="69">
        <f t="shared" si="62"/>
        <v>3404.6</v>
      </c>
    </row>
    <row r="194" spans="1:13" s="163" customFormat="1" ht="54" customHeight="1" x14ac:dyDescent="0.35">
      <c r="A194" s="56"/>
      <c r="B194" s="642" t="s">
        <v>280</v>
      </c>
      <c r="C194" s="68" t="s">
        <v>1</v>
      </c>
      <c r="D194" s="55" t="s">
        <v>102</v>
      </c>
      <c r="E194" s="55" t="s">
        <v>79</v>
      </c>
      <c r="F194" s="799" t="s">
        <v>71</v>
      </c>
      <c r="G194" s="800" t="s">
        <v>44</v>
      </c>
      <c r="H194" s="800" t="s">
        <v>36</v>
      </c>
      <c r="I194" s="801" t="s">
        <v>43</v>
      </c>
      <c r="J194" s="55"/>
      <c r="K194" s="69">
        <f t="shared" si="62"/>
        <v>3404.6</v>
      </c>
      <c r="L194" s="69">
        <f t="shared" si="62"/>
        <v>0</v>
      </c>
      <c r="M194" s="69">
        <f t="shared" si="62"/>
        <v>3404.6</v>
      </c>
    </row>
    <row r="195" spans="1:13" s="163" customFormat="1" ht="54" customHeight="1" x14ac:dyDescent="0.35">
      <c r="A195" s="56"/>
      <c r="B195" s="642" t="s">
        <v>72</v>
      </c>
      <c r="C195" s="68" t="s">
        <v>1</v>
      </c>
      <c r="D195" s="55" t="s">
        <v>102</v>
      </c>
      <c r="E195" s="55" t="s">
        <v>79</v>
      </c>
      <c r="F195" s="799" t="s">
        <v>71</v>
      </c>
      <c r="G195" s="800" t="s">
        <v>44</v>
      </c>
      <c r="H195" s="800" t="s">
        <v>36</v>
      </c>
      <c r="I195" s="801" t="s">
        <v>73</v>
      </c>
      <c r="J195" s="55"/>
      <c r="K195" s="69">
        <f t="shared" si="62"/>
        <v>3404.6</v>
      </c>
      <c r="L195" s="69">
        <f t="shared" si="62"/>
        <v>0</v>
      </c>
      <c r="M195" s="69">
        <f t="shared" si="62"/>
        <v>3404.6</v>
      </c>
    </row>
    <row r="196" spans="1:13" s="163" customFormat="1" ht="54" customHeight="1" x14ac:dyDescent="0.35">
      <c r="A196" s="56"/>
      <c r="B196" s="617" t="s">
        <v>74</v>
      </c>
      <c r="C196" s="68" t="s">
        <v>1</v>
      </c>
      <c r="D196" s="55" t="s">
        <v>102</v>
      </c>
      <c r="E196" s="55" t="s">
        <v>79</v>
      </c>
      <c r="F196" s="799" t="s">
        <v>71</v>
      </c>
      <c r="G196" s="800" t="s">
        <v>44</v>
      </c>
      <c r="H196" s="800" t="s">
        <v>36</v>
      </c>
      <c r="I196" s="801" t="s">
        <v>73</v>
      </c>
      <c r="J196" s="55" t="s">
        <v>75</v>
      </c>
      <c r="K196" s="69">
        <f>1322.2+2000+82.4</f>
        <v>3404.6</v>
      </c>
      <c r="L196" s="69">
        <f>M196-K196</f>
        <v>0</v>
      </c>
      <c r="M196" s="69">
        <f>1322.2+2000+82.4</f>
        <v>3404.6</v>
      </c>
    </row>
    <row r="197" spans="1:13" s="163" customFormat="1" ht="36" x14ac:dyDescent="0.35">
      <c r="A197" s="56"/>
      <c r="B197" s="298" t="s">
        <v>656</v>
      </c>
      <c r="C197" s="68" t="s">
        <v>1</v>
      </c>
      <c r="D197" s="55" t="s">
        <v>69</v>
      </c>
      <c r="E197" s="55"/>
      <c r="F197" s="799"/>
      <c r="G197" s="800"/>
      <c r="H197" s="800"/>
      <c r="I197" s="801"/>
      <c r="J197" s="55"/>
      <c r="K197" s="69">
        <f t="shared" ref="K197:M202" si="63">K198</f>
        <v>36</v>
      </c>
      <c r="L197" s="69">
        <f t="shared" si="63"/>
        <v>0</v>
      </c>
      <c r="M197" s="69">
        <f t="shared" si="63"/>
        <v>36</v>
      </c>
    </row>
    <row r="198" spans="1:13" s="163" customFormat="1" ht="36" x14ac:dyDescent="0.35">
      <c r="A198" s="56"/>
      <c r="B198" s="748" t="s">
        <v>657</v>
      </c>
      <c r="C198" s="68" t="s">
        <v>1</v>
      </c>
      <c r="D198" s="55" t="s">
        <v>69</v>
      </c>
      <c r="E198" s="55" t="s">
        <v>36</v>
      </c>
      <c r="F198" s="799"/>
      <c r="G198" s="800"/>
      <c r="H198" s="800"/>
      <c r="I198" s="801"/>
      <c r="J198" s="55"/>
      <c r="K198" s="69">
        <f t="shared" si="63"/>
        <v>36</v>
      </c>
      <c r="L198" s="69">
        <f t="shared" si="63"/>
        <v>0</v>
      </c>
      <c r="M198" s="69">
        <f t="shared" si="63"/>
        <v>36</v>
      </c>
    </row>
    <row r="199" spans="1:13" s="163" customFormat="1" ht="54" x14ac:dyDescent="0.35">
      <c r="A199" s="56"/>
      <c r="B199" s="696" t="s">
        <v>39</v>
      </c>
      <c r="C199" s="68" t="s">
        <v>1</v>
      </c>
      <c r="D199" s="55" t="s">
        <v>69</v>
      </c>
      <c r="E199" s="55" t="s">
        <v>36</v>
      </c>
      <c r="F199" s="799" t="s">
        <v>40</v>
      </c>
      <c r="G199" s="800" t="s">
        <v>41</v>
      </c>
      <c r="H199" s="800" t="s">
        <v>42</v>
      </c>
      <c r="I199" s="801" t="s">
        <v>43</v>
      </c>
      <c r="J199" s="55"/>
      <c r="K199" s="69">
        <f t="shared" si="63"/>
        <v>36</v>
      </c>
      <c r="L199" s="69">
        <f t="shared" si="63"/>
        <v>0</v>
      </c>
      <c r="M199" s="69">
        <f t="shared" si="63"/>
        <v>36</v>
      </c>
    </row>
    <row r="200" spans="1:13" s="163" customFormat="1" ht="36" x14ac:dyDescent="0.35">
      <c r="A200" s="56"/>
      <c r="B200" s="696" t="s">
        <v>359</v>
      </c>
      <c r="C200" s="68" t="s">
        <v>1</v>
      </c>
      <c r="D200" s="55" t="s">
        <v>69</v>
      </c>
      <c r="E200" s="55" t="s">
        <v>36</v>
      </c>
      <c r="F200" s="799" t="s">
        <v>40</v>
      </c>
      <c r="G200" s="800" t="s">
        <v>44</v>
      </c>
      <c r="H200" s="800" t="s">
        <v>42</v>
      </c>
      <c r="I200" s="801" t="s">
        <v>43</v>
      </c>
      <c r="J200" s="55"/>
      <c r="K200" s="69">
        <f t="shared" si="63"/>
        <v>36</v>
      </c>
      <c r="L200" s="69">
        <f t="shared" si="63"/>
        <v>0</v>
      </c>
      <c r="M200" s="69">
        <f t="shared" si="63"/>
        <v>36</v>
      </c>
    </row>
    <row r="201" spans="1:13" s="163" customFormat="1" ht="54" x14ac:dyDescent="0.35">
      <c r="A201" s="56"/>
      <c r="B201" s="749" t="s">
        <v>658</v>
      </c>
      <c r="C201" s="68" t="s">
        <v>1</v>
      </c>
      <c r="D201" s="55" t="s">
        <v>69</v>
      </c>
      <c r="E201" s="55" t="s">
        <v>36</v>
      </c>
      <c r="F201" s="799" t="s">
        <v>40</v>
      </c>
      <c r="G201" s="800" t="s">
        <v>44</v>
      </c>
      <c r="H201" s="800" t="s">
        <v>77</v>
      </c>
      <c r="I201" s="801" t="s">
        <v>43</v>
      </c>
      <c r="J201" s="55"/>
      <c r="K201" s="69">
        <f t="shared" si="63"/>
        <v>36</v>
      </c>
      <c r="L201" s="69">
        <f t="shared" si="63"/>
        <v>0</v>
      </c>
      <c r="M201" s="69">
        <f t="shared" si="63"/>
        <v>36</v>
      </c>
    </row>
    <row r="202" spans="1:13" s="163" customFormat="1" ht="36" x14ac:dyDescent="0.35">
      <c r="A202" s="56"/>
      <c r="B202" s="749" t="s">
        <v>659</v>
      </c>
      <c r="C202" s="68" t="s">
        <v>1</v>
      </c>
      <c r="D202" s="55" t="s">
        <v>69</v>
      </c>
      <c r="E202" s="55" t="s">
        <v>36</v>
      </c>
      <c r="F202" s="799" t="s">
        <v>40</v>
      </c>
      <c r="G202" s="800" t="s">
        <v>44</v>
      </c>
      <c r="H202" s="800" t="s">
        <v>77</v>
      </c>
      <c r="I202" s="801" t="s">
        <v>660</v>
      </c>
      <c r="J202" s="55"/>
      <c r="K202" s="69">
        <f t="shared" si="63"/>
        <v>36</v>
      </c>
      <c r="L202" s="69">
        <f t="shared" si="63"/>
        <v>0</v>
      </c>
      <c r="M202" s="69">
        <f t="shared" si="63"/>
        <v>36</v>
      </c>
    </row>
    <row r="203" spans="1:13" s="163" customFormat="1" ht="36" x14ac:dyDescent="0.35">
      <c r="A203" s="56"/>
      <c r="B203" s="749" t="s">
        <v>656</v>
      </c>
      <c r="C203" s="68" t="s">
        <v>1</v>
      </c>
      <c r="D203" s="55" t="s">
        <v>69</v>
      </c>
      <c r="E203" s="55" t="s">
        <v>36</v>
      </c>
      <c r="F203" s="799" t="s">
        <v>40</v>
      </c>
      <c r="G203" s="800" t="s">
        <v>44</v>
      </c>
      <c r="H203" s="800" t="s">
        <v>77</v>
      </c>
      <c r="I203" s="801" t="s">
        <v>660</v>
      </c>
      <c r="J203" s="55" t="s">
        <v>661</v>
      </c>
      <c r="K203" s="69">
        <v>36</v>
      </c>
      <c r="L203" s="69">
        <f>M203-K203</f>
        <v>0</v>
      </c>
      <c r="M203" s="69">
        <v>36</v>
      </c>
    </row>
    <row r="204" spans="1:13" s="163" customFormat="1" ht="54" x14ac:dyDescent="0.35">
      <c r="A204" s="56"/>
      <c r="B204" s="696" t="s">
        <v>198</v>
      </c>
      <c r="C204" s="68" t="s">
        <v>1</v>
      </c>
      <c r="D204" s="55" t="s">
        <v>86</v>
      </c>
      <c r="E204" s="55"/>
      <c r="F204" s="799"/>
      <c r="G204" s="800"/>
      <c r="H204" s="800"/>
      <c r="I204" s="801"/>
      <c r="J204" s="55"/>
      <c r="K204" s="69"/>
      <c r="L204" s="69">
        <f t="shared" ref="L204:M209" si="64">L205</f>
        <v>27915</v>
      </c>
      <c r="M204" s="69">
        <f t="shared" si="64"/>
        <v>27915</v>
      </c>
    </row>
    <row r="205" spans="1:13" s="163" customFormat="1" ht="36" x14ac:dyDescent="0.35">
      <c r="A205" s="56"/>
      <c r="B205" s="749" t="s">
        <v>726</v>
      </c>
      <c r="C205" s="68" t="s">
        <v>1</v>
      </c>
      <c r="D205" s="55" t="s">
        <v>86</v>
      </c>
      <c r="E205" s="55" t="s">
        <v>61</v>
      </c>
      <c r="F205" s="799"/>
      <c r="G205" s="800"/>
      <c r="H205" s="800"/>
      <c r="I205" s="801"/>
      <c r="J205" s="55"/>
      <c r="K205" s="69"/>
      <c r="L205" s="69">
        <f>L206+L211</f>
        <v>27915</v>
      </c>
      <c r="M205" s="69">
        <f>M206+M211</f>
        <v>27915</v>
      </c>
    </row>
    <row r="206" spans="1:13" s="163" customFormat="1" ht="108" x14ac:dyDescent="0.35">
      <c r="A206" s="56"/>
      <c r="B206" s="749" t="s">
        <v>727</v>
      </c>
      <c r="C206" s="68" t="s">
        <v>1</v>
      </c>
      <c r="D206" s="55" t="s">
        <v>86</v>
      </c>
      <c r="E206" s="55" t="s">
        <v>61</v>
      </c>
      <c r="F206" s="799" t="s">
        <v>728</v>
      </c>
      <c r="G206" s="800" t="s">
        <v>41</v>
      </c>
      <c r="H206" s="800" t="s">
        <v>42</v>
      </c>
      <c r="I206" s="801" t="s">
        <v>43</v>
      </c>
      <c r="J206" s="55"/>
      <c r="K206" s="69"/>
      <c r="L206" s="69">
        <f t="shared" si="64"/>
        <v>972.6</v>
      </c>
      <c r="M206" s="69">
        <f t="shared" si="64"/>
        <v>972.6</v>
      </c>
    </row>
    <row r="207" spans="1:13" s="163" customFormat="1" ht="108" x14ac:dyDescent="0.35">
      <c r="A207" s="56"/>
      <c r="B207" s="749" t="s">
        <v>729</v>
      </c>
      <c r="C207" s="68" t="s">
        <v>1</v>
      </c>
      <c r="D207" s="55" t="s">
        <v>86</v>
      </c>
      <c r="E207" s="55" t="s">
        <v>61</v>
      </c>
      <c r="F207" s="799" t="s">
        <v>728</v>
      </c>
      <c r="G207" s="800" t="s">
        <v>87</v>
      </c>
      <c r="H207" s="800" t="s">
        <v>42</v>
      </c>
      <c r="I207" s="801" t="s">
        <v>43</v>
      </c>
      <c r="J207" s="55"/>
      <c r="K207" s="69"/>
      <c r="L207" s="69">
        <f t="shared" si="64"/>
        <v>972.6</v>
      </c>
      <c r="M207" s="69">
        <f t="shared" si="64"/>
        <v>972.6</v>
      </c>
    </row>
    <row r="208" spans="1:13" s="163" customFormat="1" ht="72" x14ac:dyDescent="0.35">
      <c r="A208" s="56"/>
      <c r="B208" s="617" t="s">
        <v>732</v>
      </c>
      <c r="C208" s="68" t="s">
        <v>1</v>
      </c>
      <c r="D208" s="55" t="s">
        <v>86</v>
      </c>
      <c r="E208" s="55" t="s">
        <v>61</v>
      </c>
      <c r="F208" s="799" t="s">
        <v>728</v>
      </c>
      <c r="G208" s="800" t="s">
        <v>87</v>
      </c>
      <c r="H208" s="800" t="s">
        <v>36</v>
      </c>
      <c r="I208" s="801" t="s">
        <v>43</v>
      </c>
      <c r="J208" s="55"/>
      <c r="K208" s="69"/>
      <c r="L208" s="69">
        <f t="shared" si="64"/>
        <v>972.6</v>
      </c>
      <c r="M208" s="69">
        <f t="shared" si="64"/>
        <v>972.6</v>
      </c>
    </row>
    <row r="209" spans="1:13" s="163" customFormat="1" ht="72" x14ac:dyDescent="0.35">
      <c r="A209" s="56"/>
      <c r="B209" s="617" t="s">
        <v>730</v>
      </c>
      <c r="C209" s="68" t="s">
        <v>1</v>
      </c>
      <c r="D209" s="55" t="s">
        <v>86</v>
      </c>
      <c r="E209" s="55" t="s">
        <v>61</v>
      </c>
      <c r="F209" s="799" t="s">
        <v>728</v>
      </c>
      <c r="G209" s="800" t="s">
        <v>87</v>
      </c>
      <c r="H209" s="800" t="s">
        <v>36</v>
      </c>
      <c r="I209" s="801" t="s">
        <v>731</v>
      </c>
      <c r="J209" s="55"/>
      <c r="K209" s="69"/>
      <c r="L209" s="69">
        <f t="shared" si="64"/>
        <v>972.6</v>
      </c>
      <c r="M209" s="69">
        <f t="shared" si="64"/>
        <v>972.6</v>
      </c>
    </row>
    <row r="210" spans="1:13" s="163" customFormat="1" ht="18" x14ac:dyDescent="0.35">
      <c r="A210" s="56"/>
      <c r="B210" s="749" t="s">
        <v>121</v>
      </c>
      <c r="C210" s="68" t="s">
        <v>1</v>
      </c>
      <c r="D210" s="55" t="s">
        <v>86</v>
      </c>
      <c r="E210" s="55" t="s">
        <v>61</v>
      </c>
      <c r="F210" s="799" t="s">
        <v>728</v>
      </c>
      <c r="G210" s="800" t="s">
        <v>87</v>
      </c>
      <c r="H210" s="800" t="s">
        <v>36</v>
      </c>
      <c r="I210" s="801" t="s">
        <v>731</v>
      </c>
      <c r="J210" s="55" t="s">
        <v>122</v>
      </c>
      <c r="K210" s="69"/>
      <c r="L210" s="69">
        <f>M210-K210</f>
        <v>972.6</v>
      </c>
      <c r="M210" s="69">
        <v>972.6</v>
      </c>
    </row>
    <row r="211" spans="1:13" s="163" customFormat="1" ht="36" x14ac:dyDescent="0.35">
      <c r="A211" s="56"/>
      <c r="B211" s="610" t="s">
        <v>466</v>
      </c>
      <c r="C211" s="68" t="s">
        <v>1</v>
      </c>
      <c r="D211" s="55" t="s">
        <v>86</v>
      </c>
      <c r="E211" s="55" t="s">
        <v>61</v>
      </c>
      <c r="F211" s="799" t="s">
        <v>66</v>
      </c>
      <c r="G211" s="800" t="s">
        <v>41</v>
      </c>
      <c r="H211" s="800" t="s">
        <v>42</v>
      </c>
      <c r="I211" s="801" t="s">
        <v>43</v>
      </c>
      <c r="J211" s="337"/>
      <c r="K211" s="69"/>
      <c r="L211" s="69">
        <f t="shared" ref="L211:M213" si="65">L212</f>
        <v>26942.400000000001</v>
      </c>
      <c r="M211" s="69">
        <f t="shared" si="65"/>
        <v>26942.400000000001</v>
      </c>
    </row>
    <row r="212" spans="1:13" s="163" customFormat="1" ht="18" x14ac:dyDescent="0.35">
      <c r="A212" s="56"/>
      <c r="B212" s="610" t="s">
        <v>467</v>
      </c>
      <c r="C212" s="68" t="s">
        <v>1</v>
      </c>
      <c r="D212" s="55" t="s">
        <v>86</v>
      </c>
      <c r="E212" s="55" t="s">
        <v>61</v>
      </c>
      <c r="F212" s="799" t="s">
        <v>66</v>
      </c>
      <c r="G212" s="800" t="s">
        <v>44</v>
      </c>
      <c r="H212" s="800" t="s">
        <v>42</v>
      </c>
      <c r="I212" s="801" t="s">
        <v>43</v>
      </c>
      <c r="J212" s="337"/>
      <c r="K212" s="69"/>
      <c r="L212" s="69">
        <f t="shared" si="65"/>
        <v>26942.400000000001</v>
      </c>
      <c r="M212" s="69">
        <f t="shared" si="65"/>
        <v>26942.400000000001</v>
      </c>
    </row>
    <row r="213" spans="1:13" s="163" customFormat="1" ht="36" x14ac:dyDescent="0.35">
      <c r="A213" s="56"/>
      <c r="B213" s="610" t="s">
        <v>744</v>
      </c>
      <c r="C213" s="68" t="s">
        <v>1</v>
      </c>
      <c r="D213" s="55" t="s">
        <v>86</v>
      </c>
      <c r="E213" s="55" t="s">
        <v>61</v>
      </c>
      <c r="F213" s="799" t="s">
        <v>66</v>
      </c>
      <c r="G213" s="800" t="s">
        <v>44</v>
      </c>
      <c r="H213" s="800" t="s">
        <v>42</v>
      </c>
      <c r="I213" s="801" t="s">
        <v>745</v>
      </c>
      <c r="J213" s="337"/>
      <c r="K213" s="69"/>
      <c r="L213" s="69">
        <f t="shared" si="65"/>
        <v>26942.400000000001</v>
      </c>
      <c r="M213" s="69">
        <f t="shared" si="65"/>
        <v>26942.400000000001</v>
      </c>
    </row>
    <row r="214" spans="1:13" s="163" customFormat="1" ht="18" x14ac:dyDescent="0.35">
      <c r="A214" s="56"/>
      <c r="B214" s="610" t="s">
        <v>121</v>
      </c>
      <c r="C214" s="68" t="s">
        <v>1</v>
      </c>
      <c r="D214" s="55" t="s">
        <v>86</v>
      </c>
      <c r="E214" s="55" t="s">
        <v>61</v>
      </c>
      <c r="F214" s="799" t="s">
        <v>66</v>
      </c>
      <c r="G214" s="800" t="s">
        <v>44</v>
      </c>
      <c r="H214" s="800" t="s">
        <v>42</v>
      </c>
      <c r="I214" s="801" t="s">
        <v>745</v>
      </c>
      <c r="J214" s="53">
        <v>500</v>
      </c>
      <c r="K214" s="69"/>
      <c r="L214" s="69">
        <f>M214-K214</f>
        <v>26942.400000000001</v>
      </c>
      <c r="M214" s="69">
        <v>26942.400000000001</v>
      </c>
    </row>
    <row r="215" spans="1:13" ht="18" customHeight="1" x14ac:dyDescent="0.35">
      <c r="A215" s="56"/>
      <c r="B215" s="610"/>
      <c r="C215" s="68"/>
      <c r="D215" s="55"/>
      <c r="E215" s="55"/>
      <c r="F215" s="799"/>
      <c r="G215" s="800"/>
      <c r="H215" s="800"/>
      <c r="I215" s="801"/>
      <c r="J215" s="337"/>
      <c r="K215" s="69"/>
      <c r="L215" s="69"/>
      <c r="M215" s="69"/>
    </row>
    <row r="216" spans="1:13" ht="52.2" customHeight="1" x14ac:dyDescent="0.3">
      <c r="A216" s="162">
        <v>2</v>
      </c>
      <c r="B216" s="656" t="s">
        <v>2</v>
      </c>
      <c r="C216" s="63" t="s">
        <v>316</v>
      </c>
      <c r="D216" s="64"/>
      <c r="E216" s="64"/>
      <c r="F216" s="65"/>
      <c r="G216" s="66"/>
      <c r="H216" s="66"/>
      <c r="I216" s="67"/>
      <c r="J216" s="64"/>
      <c r="K216" s="77">
        <f>K217+K248+K241</f>
        <v>45259.299999999996</v>
      </c>
      <c r="L216" s="77">
        <f t="shared" ref="L216" si="66">L217+L248+L241</f>
        <v>2400</v>
      </c>
      <c r="M216" s="77">
        <f>M217+M248+M241</f>
        <v>47659.299999999996</v>
      </c>
    </row>
    <row r="217" spans="1:13" s="167" customFormat="1" ht="18" customHeight="1" x14ac:dyDescent="0.35">
      <c r="A217" s="56"/>
      <c r="B217" s="610" t="s">
        <v>35</v>
      </c>
      <c r="C217" s="68" t="s">
        <v>316</v>
      </c>
      <c r="D217" s="55" t="s">
        <v>36</v>
      </c>
      <c r="E217" s="55"/>
      <c r="F217" s="799"/>
      <c r="G217" s="800"/>
      <c r="H217" s="800"/>
      <c r="I217" s="801"/>
      <c r="J217" s="55"/>
      <c r="K217" s="69">
        <f>K218+K229</f>
        <v>36143.699999999997</v>
      </c>
      <c r="L217" s="69">
        <f t="shared" ref="L217" si="67">L218+L229</f>
        <v>0</v>
      </c>
      <c r="M217" s="69">
        <f>M218+M229</f>
        <v>36143.699999999997</v>
      </c>
    </row>
    <row r="218" spans="1:13" s="168" customFormat="1" ht="72" customHeight="1" x14ac:dyDescent="0.35">
      <c r="A218" s="56"/>
      <c r="B218" s="610" t="s">
        <v>128</v>
      </c>
      <c r="C218" s="68" t="s">
        <v>316</v>
      </c>
      <c r="D218" s="55" t="s">
        <v>36</v>
      </c>
      <c r="E218" s="55" t="s">
        <v>79</v>
      </c>
      <c r="F218" s="799"/>
      <c r="G218" s="800"/>
      <c r="H218" s="800"/>
      <c r="I218" s="801"/>
      <c r="J218" s="55"/>
      <c r="K218" s="69">
        <f t="shared" ref="K218:M219" si="68">K219</f>
        <v>32481.7</v>
      </c>
      <c r="L218" s="69">
        <f t="shared" si="68"/>
        <v>0</v>
      </c>
      <c r="M218" s="69">
        <f t="shared" si="68"/>
        <v>32481.7</v>
      </c>
    </row>
    <row r="219" spans="1:13" s="163" customFormat="1" ht="54" customHeight="1" x14ac:dyDescent="0.35">
      <c r="A219" s="56"/>
      <c r="B219" s="610" t="s">
        <v>220</v>
      </c>
      <c r="C219" s="68" t="s">
        <v>316</v>
      </c>
      <c r="D219" s="55" t="s">
        <v>36</v>
      </c>
      <c r="E219" s="55" t="s">
        <v>79</v>
      </c>
      <c r="F219" s="799" t="s">
        <v>221</v>
      </c>
      <c r="G219" s="800" t="s">
        <v>41</v>
      </c>
      <c r="H219" s="800" t="s">
        <v>42</v>
      </c>
      <c r="I219" s="801" t="s">
        <v>43</v>
      </c>
      <c r="J219" s="55"/>
      <c r="K219" s="69">
        <f t="shared" si="68"/>
        <v>32481.7</v>
      </c>
      <c r="L219" s="69">
        <f t="shared" si="68"/>
        <v>0</v>
      </c>
      <c r="M219" s="69">
        <f t="shared" si="68"/>
        <v>32481.7</v>
      </c>
    </row>
    <row r="220" spans="1:13" s="163" customFormat="1" ht="36" customHeight="1" x14ac:dyDescent="0.35">
      <c r="A220" s="56"/>
      <c r="B220" s="610" t="s">
        <v>359</v>
      </c>
      <c r="C220" s="68" t="s">
        <v>316</v>
      </c>
      <c r="D220" s="55" t="s">
        <v>36</v>
      </c>
      <c r="E220" s="55" t="s">
        <v>79</v>
      </c>
      <c r="F220" s="70" t="s">
        <v>221</v>
      </c>
      <c r="G220" s="71" t="s">
        <v>44</v>
      </c>
      <c r="H220" s="800" t="s">
        <v>42</v>
      </c>
      <c r="I220" s="801" t="s">
        <v>43</v>
      </c>
      <c r="J220" s="55"/>
      <c r="K220" s="69">
        <f>K221+K226</f>
        <v>32481.7</v>
      </c>
      <c r="L220" s="69">
        <f t="shared" ref="L220" si="69">L221+L226</f>
        <v>0</v>
      </c>
      <c r="M220" s="69">
        <f>M221+M226</f>
        <v>32481.7</v>
      </c>
    </row>
    <row r="221" spans="1:13" s="163" customFormat="1" ht="54" customHeight="1" x14ac:dyDescent="0.35">
      <c r="A221" s="56"/>
      <c r="B221" s="610" t="s">
        <v>317</v>
      </c>
      <c r="C221" s="68" t="s">
        <v>316</v>
      </c>
      <c r="D221" s="55" t="s">
        <v>36</v>
      </c>
      <c r="E221" s="55" t="s">
        <v>79</v>
      </c>
      <c r="F221" s="70" t="s">
        <v>221</v>
      </c>
      <c r="G221" s="71" t="s">
        <v>44</v>
      </c>
      <c r="H221" s="800" t="s">
        <v>36</v>
      </c>
      <c r="I221" s="801" t="s">
        <v>43</v>
      </c>
      <c r="J221" s="55"/>
      <c r="K221" s="69">
        <f>K222</f>
        <v>31446.600000000002</v>
      </c>
      <c r="L221" s="69">
        <f t="shared" ref="L221" si="70">L222</f>
        <v>0</v>
      </c>
      <c r="M221" s="69">
        <f>M222</f>
        <v>31446.600000000002</v>
      </c>
    </row>
    <row r="222" spans="1:13" s="163" customFormat="1" ht="36" customHeight="1" x14ac:dyDescent="0.35">
      <c r="A222" s="56"/>
      <c r="B222" s="610" t="s">
        <v>46</v>
      </c>
      <c r="C222" s="68" t="s">
        <v>316</v>
      </c>
      <c r="D222" s="55" t="s">
        <v>36</v>
      </c>
      <c r="E222" s="55" t="s">
        <v>79</v>
      </c>
      <c r="F222" s="70" t="s">
        <v>221</v>
      </c>
      <c r="G222" s="71" t="s">
        <v>44</v>
      </c>
      <c r="H222" s="800" t="s">
        <v>36</v>
      </c>
      <c r="I222" s="801" t="s">
        <v>47</v>
      </c>
      <c r="J222" s="55"/>
      <c r="K222" s="69">
        <f>SUM(K223:K225)</f>
        <v>31446.600000000002</v>
      </c>
      <c r="L222" s="69">
        <f t="shared" ref="L222" si="71">SUM(L223:L225)</f>
        <v>0</v>
      </c>
      <c r="M222" s="69">
        <f>SUM(M223:M225)</f>
        <v>31446.600000000002</v>
      </c>
    </row>
    <row r="223" spans="1:13" s="163" customFormat="1" ht="108" customHeight="1" x14ac:dyDescent="0.35">
      <c r="A223" s="56"/>
      <c r="B223" s="610" t="s">
        <v>48</v>
      </c>
      <c r="C223" s="68" t="s">
        <v>316</v>
      </c>
      <c r="D223" s="55" t="s">
        <v>36</v>
      </c>
      <c r="E223" s="55" t="s">
        <v>79</v>
      </c>
      <c r="F223" s="70" t="s">
        <v>221</v>
      </c>
      <c r="G223" s="71" t="s">
        <v>44</v>
      </c>
      <c r="H223" s="800" t="s">
        <v>36</v>
      </c>
      <c r="I223" s="801" t="s">
        <v>47</v>
      </c>
      <c r="J223" s="55" t="s">
        <v>49</v>
      </c>
      <c r="K223" s="69">
        <f>31734.4-1035.1+120.2+43.5</f>
        <v>30863.000000000004</v>
      </c>
      <c r="L223" s="69">
        <f>M223-K223</f>
        <v>0</v>
      </c>
      <c r="M223" s="69">
        <f>31734.4-1035.1+120.2+43.5</f>
        <v>30863.000000000004</v>
      </c>
    </row>
    <row r="224" spans="1:13" s="163" customFormat="1" ht="54" customHeight="1" x14ac:dyDescent="0.35">
      <c r="A224" s="56"/>
      <c r="B224" s="610" t="s">
        <v>53</v>
      </c>
      <c r="C224" s="68" t="s">
        <v>316</v>
      </c>
      <c r="D224" s="55" t="s">
        <v>36</v>
      </c>
      <c r="E224" s="55" t="s">
        <v>79</v>
      </c>
      <c r="F224" s="70" t="s">
        <v>221</v>
      </c>
      <c r="G224" s="71" t="s">
        <v>44</v>
      </c>
      <c r="H224" s="800" t="s">
        <v>36</v>
      </c>
      <c r="I224" s="801" t="s">
        <v>47</v>
      </c>
      <c r="J224" s="55" t="s">
        <v>54</v>
      </c>
      <c r="K224" s="69">
        <f>21.2+678-120.2</f>
        <v>579</v>
      </c>
      <c r="L224" s="69">
        <f>M224-K224</f>
        <v>0</v>
      </c>
      <c r="M224" s="69">
        <f>21.2+678-120.2</f>
        <v>579</v>
      </c>
    </row>
    <row r="225" spans="1:13" s="168" customFormat="1" ht="18" customHeight="1" x14ac:dyDescent="0.35">
      <c r="A225" s="56"/>
      <c r="B225" s="610" t="s">
        <v>55</v>
      </c>
      <c r="C225" s="68" t="s">
        <v>316</v>
      </c>
      <c r="D225" s="55" t="s">
        <v>36</v>
      </c>
      <c r="E225" s="55" t="s">
        <v>79</v>
      </c>
      <c r="F225" s="70" t="s">
        <v>221</v>
      </c>
      <c r="G225" s="71" t="s">
        <v>44</v>
      </c>
      <c r="H225" s="800" t="s">
        <v>36</v>
      </c>
      <c r="I225" s="801" t="s">
        <v>47</v>
      </c>
      <c r="J225" s="55" t="s">
        <v>56</v>
      </c>
      <c r="K225" s="69">
        <v>4.5999999999999996</v>
      </c>
      <c r="L225" s="69">
        <f>M225-K225</f>
        <v>0</v>
      </c>
      <c r="M225" s="69">
        <v>4.5999999999999996</v>
      </c>
    </row>
    <row r="226" spans="1:13" s="168" customFormat="1" ht="54" customHeight="1" x14ac:dyDescent="0.35">
      <c r="A226" s="56"/>
      <c r="B226" s="696" t="s">
        <v>605</v>
      </c>
      <c r="C226" s="68" t="s">
        <v>316</v>
      </c>
      <c r="D226" s="55" t="s">
        <v>36</v>
      </c>
      <c r="E226" s="55" t="s">
        <v>79</v>
      </c>
      <c r="F226" s="70" t="s">
        <v>221</v>
      </c>
      <c r="G226" s="71" t="s">
        <v>44</v>
      </c>
      <c r="H226" s="800" t="s">
        <v>50</v>
      </c>
      <c r="I226" s="801" t="s">
        <v>43</v>
      </c>
      <c r="J226" s="55"/>
      <c r="K226" s="69">
        <f t="shared" ref="K226:M227" si="72">K227</f>
        <v>1035.0999999999999</v>
      </c>
      <c r="L226" s="69">
        <f t="shared" si="72"/>
        <v>0</v>
      </c>
      <c r="M226" s="69">
        <f t="shared" si="72"/>
        <v>1035.0999999999999</v>
      </c>
    </row>
    <row r="227" spans="1:13" s="168" customFormat="1" ht="36" customHeight="1" x14ac:dyDescent="0.35">
      <c r="A227" s="56"/>
      <c r="B227" s="696" t="s">
        <v>604</v>
      </c>
      <c r="C227" s="68" t="s">
        <v>316</v>
      </c>
      <c r="D227" s="55" t="s">
        <v>36</v>
      </c>
      <c r="E227" s="55" t="s">
        <v>79</v>
      </c>
      <c r="F227" s="70" t="s">
        <v>221</v>
      </c>
      <c r="G227" s="71" t="s">
        <v>44</v>
      </c>
      <c r="H227" s="800" t="s">
        <v>50</v>
      </c>
      <c r="I227" s="801" t="s">
        <v>606</v>
      </c>
      <c r="J227" s="55"/>
      <c r="K227" s="69">
        <f t="shared" si="72"/>
        <v>1035.0999999999999</v>
      </c>
      <c r="L227" s="69">
        <f t="shared" si="72"/>
        <v>0</v>
      </c>
      <c r="M227" s="69">
        <f t="shared" si="72"/>
        <v>1035.0999999999999</v>
      </c>
    </row>
    <row r="228" spans="1:13" s="168" customFormat="1" ht="108" customHeight="1" x14ac:dyDescent="0.35">
      <c r="A228" s="56"/>
      <c r="B228" s="696" t="s">
        <v>48</v>
      </c>
      <c r="C228" s="68" t="s">
        <v>316</v>
      </c>
      <c r="D228" s="55" t="s">
        <v>36</v>
      </c>
      <c r="E228" s="55" t="s">
        <v>79</v>
      </c>
      <c r="F228" s="70" t="s">
        <v>221</v>
      </c>
      <c r="G228" s="71" t="s">
        <v>44</v>
      </c>
      <c r="H228" s="800" t="s">
        <v>50</v>
      </c>
      <c r="I228" s="801" t="s">
        <v>606</v>
      </c>
      <c r="J228" s="55" t="s">
        <v>49</v>
      </c>
      <c r="K228" s="69">
        <v>1035.0999999999999</v>
      </c>
      <c r="L228" s="69">
        <f>M228-K228</f>
        <v>0</v>
      </c>
      <c r="M228" s="69">
        <v>1035.0999999999999</v>
      </c>
    </row>
    <row r="229" spans="1:13" s="163" customFormat="1" ht="18" customHeight="1" x14ac:dyDescent="0.35">
      <c r="A229" s="56"/>
      <c r="B229" s="610" t="s">
        <v>68</v>
      </c>
      <c r="C229" s="68" t="s">
        <v>316</v>
      </c>
      <c r="D229" s="55" t="s">
        <v>36</v>
      </c>
      <c r="E229" s="55" t="s">
        <v>69</v>
      </c>
      <c r="F229" s="70"/>
      <c r="G229" s="71"/>
      <c r="H229" s="800"/>
      <c r="I229" s="801"/>
      <c r="J229" s="55"/>
      <c r="K229" s="69">
        <f t="shared" ref="K229:M236" si="73">K230</f>
        <v>3661.9999999999995</v>
      </c>
      <c r="L229" s="69">
        <f t="shared" si="73"/>
        <v>0</v>
      </c>
      <c r="M229" s="69">
        <f t="shared" si="73"/>
        <v>3661.9999999999995</v>
      </c>
    </row>
    <row r="230" spans="1:13" s="163" customFormat="1" ht="54" customHeight="1" x14ac:dyDescent="0.35">
      <c r="A230" s="56"/>
      <c r="B230" s="610" t="s">
        <v>220</v>
      </c>
      <c r="C230" s="68" t="s">
        <v>316</v>
      </c>
      <c r="D230" s="55" t="s">
        <v>36</v>
      </c>
      <c r="E230" s="55" t="s">
        <v>69</v>
      </c>
      <c r="F230" s="70" t="s">
        <v>221</v>
      </c>
      <c r="G230" s="71" t="s">
        <v>41</v>
      </c>
      <c r="H230" s="800" t="s">
        <v>42</v>
      </c>
      <c r="I230" s="801" t="s">
        <v>43</v>
      </c>
      <c r="J230" s="55"/>
      <c r="K230" s="69">
        <f t="shared" si="73"/>
        <v>3661.9999999999995</v>
      </c>
      <c r="L230" s="69">
        <f t="shared" si="73"/>
        <v>0</v>
      </c>
      <c r="M230" s="69">
        <f t="shared" si="73"/>
        <v>3661.9999999999995</v>
      </c>
    </row>
    <row r="231" spans="1:13" s="52" customFormat="1" ht="36" customHeight="1" x14ac:dyDescent="0.35">
      <c r="A231" s="56"/>
      <c r="B231" s="610" t="s">
        <v>359</v>
      </c>
      <c r="C231" s="68" t="s">
        <v>316</v>
      </c>
      <c r="D231" s="55" t="s">
        <v>36</v>
      </c>
      <c r="E231" s="55" t="s">
        <v>69</v>
      </c>
      <c r="F231" s="70" t="s">
        <v>221</v>
      </c>
      <c r="G231" s="71" t="s">
        <v>44</v>
      </c>
      <c r="H231" s="800" t="s">
        <v>42</v>
      </c>
      <c r="I231" s="801" t="s">
        <v>43</v>
      </c>
      <c r="J231" s="55"/>
      <c r="K231" s="69">
        <f>K232+K235+K238</f>
        <v>3661.9999999999995</v>
      </c>
      <c r="L231" s="69">
        <f t="shared" ref="L231" si="74">L232+L235+L238</f>
        <v>0</v>
      </c>
      <c r="M231" s="69">
        <f>M232+M235+M238</f>
        <v>3661.9999999999995</v>
      </c>
    </row>
    <row r="232" spans="1:13" s="52" customFormat="1" ht="54" x14ac:dyDescent="0.35">
      <c r="A232" s="56"/>
      <c r="B232" s="610" t="s">
        <v>317</v>
      </c>
      <c r="C232" s="68" t="s">
        <v>316</v>
      </c>
      <c r="D232" s="55" t="s">
        <v>36</v>
      </c>
      <c r="E232" s="55" t="s">
        <v>69</v>
      </c>
      <c r="F232" s="70" t="s">
        <v>221</v>
      </c>
      <c r="G232" s="71" t="s">
        <v>44</v>
      </c>
      <c r="H232" s="800" t="s">
        <v>36</v>
      </c>
      <c r="I232" s="801" t="s">
        <v>43</v>
      </c>
      <c r="J232" s="55"/>
      <c r="K232" s="69">
        <f>K233</f>
        <v>162.69999999999999</v>
      </c>
      <c r="L232" s="69">
        <f t="shared" ref="L232" si="75">L233</f>
        <v>0</v>
      </c>
      <c r="M232" s="69">
        <f>M233</f>
        <v>162.69999999999999</v>
      </c>
    </row>
    <row r="233" spans="1:13" s="52" customFormat="1" ht="60.6" customHeight="1" x14ac:dyDescent="0.35">
      <c r="A233" s="56"/>
      <c r="B233" s="610" t="s">
        <v>401</v>
      </c>
      <c r="C233" s="68" t="s">
        <v>316</v>
      </c>
      <c r="D233" s="55" t="s">
        <v>36</v>
      </c>
      <c r="E233" s="55" t="s">
        <v>69</v>
      </c>
      <c r="F233" s="70" t="s">
        <v>221</v>
      </c>
      <c r="G233" s="71" t="s">
        <v>44</v>
      </c>
      <c r="H233" s="800" t="s">
        <v>36</v>
      </c>
      <c r="I233" s="801" t="s">
        <v>400</v>
      </c>
      <c r="J233" s="55"/>
      <c r="K233" s="69">
        <f t="shared" si="73"/>
        <v>162.69999999999999</v>
      </c>
      <c r="L233" s="69">
        <f t="shared" si="73"/>
        <v>0</v>
      </c>
      <c r="M233" s="69">
        <f t="shared" si="73"/>
        <v>162.69999999999999</v>
      </c>
    </row>
    <row r="234" spans="1:13" s="52" customFormat="1" ht="36" customHeight="1" x14ac:dyDescent="0.35">
      <c r="A234" s="56"/>
      <c r="B234" s="610" t="s">
        <v>53</v>
      </c>
      <c r="C234" s="68" t="s">
        <v>316</v>
      </c>
      <c r="D234" s="55" t="s">
        <v>36</v>
      </c>
      <c r="E234" s="55" t="s">
        <v>69</v>
      </c>
      <c r="F234" s="70" t="s">
        <v>221</v>
      </c>
      <c r="G234" s="71" t="s">
        <v>44</v>
      </c>
      <c r="H234" s="800" t="s">
        <v>36</v>
      </c>
      <c r="I234" s="801" t="s">
        <v>400</v>
      </c>
      <c r="J234" s="55" t="s">
        <v>54</v>
      </c>
      <c r="K234" s="69">
        <v>162.69999999999999</v>
      </c>
      <c r="L234" s="69">
        <f>M234-K234</f>
        <v>0</v>
      </c>
      <c r="M234" s="69">
        <v>162.69999999999999</v>
      </c>
    </row>
    <row r="235" spans="1:13" s="163" customFormat="1" ht="36" customHeight="1" x14ac:dyDescent="0.35">
      <c r="A235" s="56"/>
      <c r="B235" s="610" t="s">
        <v>371</v>
      </c>
      <c r="C235" s="68" t="s">
        <v>316</v>
      </c>
      <c r="D235" s="55" t="s">
        <v>36</v>
      </c>
      <c r="E235" s="55" t="s">
        <v>69</v>
      </c>
      <c r="F235" s="70" t="s">
        <v>221</v>
      </c>
      <c r="G235" s="71" t="s">
        <v>44</v>
      </c>
      <c r="H235" s="800" t="s">
        <v>61</v>
      </c>
      <c r="I235" s="801" t="s">
        <v>43</v>
      </c>
      <c r="J235" s="55"/>
      <c r="K235" s="69">
        <f>K236</f>
        <v>3481.7</v>
      </c>
      <c r="L235" s="69">
        <f t="shared" ref="L235" si="76">L236</f>
        <v>0</v>
      </c>
      <c r="M235" s="69">
        <f>M236</f>
        <v>3481.7</v>
      </c>
    </row>
    <row r="236" spans="1:13" s="168" customFormat="1" ht="54" customHeight="1" x14ac:dyDescent="0.35">
      <c r="A236" s="56"/>
      <c r="B236" s="610" t="s">
        <v>372</v>
      </c>
      <c r="C236" s="68" t="s">
        <v>316</v>
      </c>
      <c r="D236" s="55" t="s">
        <v>36</v>
      </c>
      <c r="E236" s="55" t="s">
        <v>69</v>
      </c>
      <c r="F236" s="70" t="s">
        <v>221</v>
      </c>
      <c r="G236" s="71" t="s">
        <v>44</v>
      </c>
      <c r="H236" s="800" t="s">
        <v>61</v>
      </c>
      <c r="I236" s="801" t="s">
        <v>103</v>
      </c>
      <c r="J236" s="55"/>
      <c r="K236" s="69">
        <f t="shared" si="73"/>
        <v>3481.7</v>
      </c>
      <c r="L236" s="69">
        <f t="shared" si="73"/>
        <v>0</v>
      </c>
      <c r="M236" s="69">
        <f t="shared" si="73"/>
        <v>3481.7</v>
      </c>
    </row>
    <row r="237" spans="1:13" s="168" customFormat="1" ht="54" customHeight="1" x14ac:dyDescent="0.35">
      <c r="A237" s="56"/>
      <c r="B237" s="610" t="s">
        <v>53</v>
      </c>
      <c r="C237" s="68" t="s">
        <v>316</v>
      </c>
      <c r="D237" s="55" t="s">
        <v>36</v>
      </c>
      <c r="E237" s="55" t="s">
        <v>69</v>
      </c>
      <c r="F237" s="70" t="s">
        <v>221</v>
      </c>
      <c r="G237" s="71" t="s">
        <v>44</v>
      </c>
      <c r="H237" s="800" t="s">
        <v>61</v>
      </c>
      <c r="I237" s="801" t="s">
        <v>103</v>
      </c>
      <c r="J237" s="55" t="s">
        <v>54</v>
      </c>
      <c r="K237" s="69">
        <v>3481.7</v>
      </c>
      <c r="L237" s="69">
        <f>M237-K237</f>
        <v>0</v>
      </c>
      <c r="M237" s="69">
        <v>3481.7</v>
      </c>
    </row>
    <row r="238" spans="1:13" s="168" customFormat="1" ht="36" customHeight="1" x14ac:dyDescent="0.35">
      <c r="A238" s="56"/>
      <c r="B238" s="610" t="s">
        <v>488</v>
      </c>
      <c r="C238" s="68" t="s">
        <v>316</v>
      </c>
      <c r="D238" s="55" t="s">
        <v>36</v>
      </c>
      <c r="E238" s="55" t="s">
        <v>69</v>
      </c>
      <c r="F238" s="70" t="s">
        <v>221</v>
      </c>
      <c r="G238" s="71" t="s">
        <v>44</v>
      </c>
      <c r="H238" s="800" t="s">
        <v>63</v>
      </c>
      <c r="I238" s="801" t="s">
        <v>43</v>
      </c>
      <c r="J238" s="55"/>
      <c r="K238" s="69">
        <f t="shared" ref="K238:M239" si="77">K239</f>
        <v>17.600000000000001</v>
      </c>
      <c r="L238" s="69">
        <f t="shared" si="77"/>
        <v>0</v>
      </c>
      <c r="M238" s="69">
        <f t="shared" si="77"/>
        <v>17.600000000000001</v>
      </c>
    </row>
    <row r="239" spans="1:13" s="168" customFormat="1" ht="18" customHeight="1" x14ac:dyDescent="0.35">
      <c r="A239" s="56"/>
      <c r="B239" s="610" t="s">
        <v>486</v>
      </c>
      <c r="C239" s="68" t="s">
        <v>316</v>
      </c>
      <c r="D239" s="55" t="s">
        <v>36</v>
      </c>
      <c r="E239" s="55" t="s">
        <v>69</v>
      </c>
      <c r="F239" s="70" t="s">
        <v>221</v>
      </c>
      <c r="G239" s="71" t="s">
        <v>44</v>
      </c>
      <c r="H239" s="800" t="s">
        <v>63</v>
      </c>
      <c r="I239" s="801" t="s">
        <v>487</v>
      </c>
      <c r="J239" s="55"/>
      <c r="K239" s="69">
        <f t="shared" si="77"/>
        <v>17.600000000000001</v>
      </c>
      <c r="L239" s="69">
        <f t="shared" si="77"/>
        <v>0</v>
      </c>
      <c r="M239" s="69">
        <f t="shared" si="77"/>
        <v>17.600000000000001</v>
      </c>
    </row>
    <row r="240" spans="1:13" s="168" customFormat="1" ht="54" customHeight="1" x14ac:dyDescent="0.35">
      <c r="A240" s="56"/>
      <c r="B240" s="610" t="s">
        <v>53</v>
      </c>
      <c r="C240" s="68" t="s">
        <v>316</v>
      </c>
      <c r="D240" s="55" t="s">
        <v>36</v>
      </c>
      <c r="E240" s="55" t="s">
        <v>69</v>
      </c>
      <c r="F240" s="70" t="s">
        <v>221</v>
      </c>
      <c r="G240" s="71" t="s">
        <v>44</v>
      </c>
      <c r="H240" s="800" t="s">
        <v>63</v>
      </c>
      <c r="I240" s="801" t="s">
        <v>487</v>
      </c>
      <c r="J240" s="55" t="s">
        <v>54</v>
      </c>
      <c r="K240" s="69">
        <v>17.600000000000001</v>
      </c>
      <c r="L240" s="69">
        <f>M240-K240</f>
        <v>0</v>
      </c>
      <c r="M240" s="69">
        <v>17.600000000000001</v>
      </c>
    </row>
    <row r="241" spans="1:13" s="168" customFormat="1" ht="18" customHeight="1" x14ac:dyDescent="0.35">
      <c r="A241" s="56"/>
      <c r="B241" s="610" t="s">
        <v>177</v>
      </c>
      <c r="C241" s="68" t="s">
        <v>316</v>
      </c>
      <c r="D241" s="55" t="s">
        <v>221</v>
      </c>
      <c r="E241" s="55"/>
      <c r="F241" s="70"/>
      <c r="G241" s="71"/>
      <c r="H241" s="800"/>
      <c r="I241" s="801"/>
      <c r="J241" s="55"/>
      <c r="K241" s="69">
        <f t="shared" ref="K241:M246" si="78">K242</f>
        <v>115.6</v>
      </c>
      <c r="L241" s="69">
        <f t="shared" si="78"/>
        <v>0</v>
      </c>
      <c r="M241" s="69">
        <f t="shared" si="78"/>
        <v>115.6</v>
      </c>
    </row>
    <row r="242" spans="1:13" s="168" customFormat="1" ht="36" customHeight="1" x14ac:dyDescent="0.35">
      <c r="A242" s="56"/>
      <c r="B242" s="610" t="s">
        <v>542</v>
      </c>
      <c r="C242" s="68" t="s">
        <v>316</v>
      </c>
      <c r="D242" s="55" t="s">
        <v>221</v>
      </c>
      <c r="E242" s="55" t="s">
        <v>63</v>
      </c>
      <c r="F242" s="70"/>
      <c r="G242" s="71"/>
      <c r="H242" s="800"/>
      <c r="I242" s="801"/>
      <c r="J242" s="55"/>
      <c r="K242" s="69">
        <f t="shared" si="78"/>
        <v>115.6</v>
      </c>
      <c r="L242" s="69">
        <f t="shared" si="78"/>
        <v>0</v>
      </c>
      <c r="M242" s="69">
        <f t="shared" si="78"/>
        <v>115.6</v>
      </c>
    </row>
    <row r="243" spans="1:13" s="168" customFormat="1" ht="54" customHeight="1" x14ac:dyDescent="0.35">
      <c r="A243" s="56"/>
      <c r="B243" s="610" t="s">
        <v>220</v>
      </c>
      <c r="C243" s="68" t="s">
        <v>316</v>
      </c>
      <c r="D243" s="55" t="s">
        <v>221</v>
      </c>
      <c r="E243" s="55" t="s">
        <v>63</v>
      </c>
      <c r="F243" s="70" t="s">
        <v>221</v>
      </c>
      <c r="G243" s="71" t="s">
        <v>41</v>
      </c>
      <c r="H243" s="800" t="s">
        <v>42</v>
      </c>
      <c r="I243" s="801" t="s">
        <v>43</v>
      </c>
      <c r="J243" s="55"/>
      <c r="K243" s="69">
        <f t="shared" si="78"/>
        <v>115.6</v>
      </c>
      <c r="L243" s="69">
        <f t="shared" si="78"/>
        <v>0</v>
      </c>
      <c r="M243" s="69">
        <f t="shared" si="78"/>
        <v>115.6</v>
      </c>
    </row>
    <row r="244" spans="1:13" s="168" customFormat="1" ht="36" customHeight="1" x14ac:dyDescent="0.35">
      <c r="A244" s="56"/>
      <c r="B244" s="610" t="s">
        <v>359</v>
      </c>
      <c r="C244" s="68" t="s">
        <v>316</v>
      </c>
      <c r="D244" s="55" t="s">
        <v>221</v>
      </c>
      <c r="E244" s="55" t="s">
        <v>63</v>
      </c>
      <c r="F244" s="70" t="s">
        <v>221</v>
      </c>
      <c r="G244" s="71" t="s">
        <v>44</v>
      </c>
      <c r="H244" s="800" t="s">
        <v>42</v>
      </c>
      <c r="I244" s="801" t="s">
        <v>43</v>
      </c>
      <c r="J244" s="55"/>
      <c r="K244" s="69">
        <f t="shared" si="78"/>
        <v>115.6</v>
      </c>
      <c r="L244" s="69">
        <f t="shared" si="78"/>
        <v>0</v>
      </c>
      <c r="M244" s="69">
        <f t="shared" si="78"/>
        <v>115.6</v>
      </c>
    </row>
    <row r="245" spans="1:13" s="168" customFormat="1" ht="54" customHeight="1" x14ac:dyDescent="0.35">
      <c r="A245" s="56"/>
      <c r="B245" s="610" t="s">
        <v>317</v>
      </c>
      <c r="C245" s="68" t="s">
        <v>316</v>
      </c>
      <c r="D245" s="55" t="s">
        <v>221</v>
      </c>
      <c r="E245" s="55" t="s">
        <v>63</v>
      </c>
      <c r="F245" s="70" t="s">
        <v>221</v>
      </c>
      <c r="G245" s="71" t="s">
        <v>44</v>
      </c>
      <c r="H245" s="800" t="s">
        <v>36</v>
      </c>
      <c r="I245" s="801" t="s">
        <v>43</v>
      </c>
      <c r="J245" s="55"/>
      <c r="K245" s="69">
        <f t="shared" si="78"/>
        <v>115.6</v>
      </c>
      <c r="L245" s="69">
        <f t="shared" si="78"/>
        <v>0</v>
      </c>
      <c r="M245" s="69">
        <f t="shared" si="78"/>
        <v>115.6</v>
      </c>
    </row>
    <row r="246" spans="1:13" s="168" customFormat="1" ht="36" customHeight="1" x14ac:dyDescent="0.35">
      <c r="A246" s="56"/>
      <c r="B246" s="610" t="s">
        <v>544</v>
      </c>
      <c r="C246" s="68" t="s">
        <v>316</v>
      </c>
      <c r="D246" s="55" t="s">
        <v>221</v>
      </c>
      <c r="E246" s="55" t="s">
        <v>63</v>
      </c>
      <c r="F246" s="70" t="s">
        <v>221</v>
      </c>
      <c r="G246" s="71" t="s">
        <v>44</v>
      </c>
      <c r="H246" s="800" t="s">
        <v>36</v>
      </c>
      <c r="I246" s="801" t="s">
        <v>543</v>
      </c>
      <c r="J246" s="55"/>
      <c r="K246" s="69">
        <f t="shared" si="78"/>
        <v>115.6</v>
      </c>
      <c r="L246" s="69">
        <f t="shared" si="78"/>
        <v>0</v>
      </c>
      <c r="M246" s="69">
        <f t="shared" si="78"/>
        <v>115.6</v>
      </c>
    </row>
    <row r="247" spans="1:13" s="168" customFormat="1" ht="54" customHeight="1" x14ac:dyDescent="0.35">
      <c r="A247" s="56"/>
      <c r="B247" s="610" t="s">
        <v>53</v>
      </c>
      <c r="C247" s="68" t="s">
        <v>316</v>
      </c>
      <c r="D247" s="55" t="s">
        <v>221</v>
      </c>
      <c r="E247" s="55" t="s">
        <v>63</v>
      </c>
      <c r="F247" s="70" t="s">
        <v>221</v>
      </c>
      <c r="G247" s="71" t="s">
        <v>44</v>
      </c>
      <c r="H247" s="800" t="s">
        <v>36</v>
      </c>
      <c r="I247" s="801" t="s">
        <v>543</v>
      </c>
      <c r="J247" s="55" t="s">
        <v>54</v>
      </c>
      <c r="K247" s="69">
        <v>115.6</v>
      </c>
      <c r="L247" s="69">
        <f>M247-K247</f>
        <v>0</v>
      </c>
      <c r="M247" s="69">
        <v>115.6</v>
      </c>
    </row>
    <row r="248" spans="1:13" s="168" customFormat="1" ht="54" customHeight="1" x14ac:dyDescent="0.35">
      <c r="A248" s="56"/>
      <c r="B248" s="610" t="s">
        <v>198</v>
      </c>
      <c r="C248" s="68" t="s">
        <v>316</v>
      </c>
      <c r="D248" s="55" t="s">
        <v>86</v>
      </c>
      <c r="E248" s="55"/>
      <c r="F248" s="70"/>
      <c r="G248" s="71"/>
      <c r="H248" s="800"/>
      <c r="I248" s="801"/>
      <c r="J248" s="55"/>
      <c r="K248" s="69">
        <f>K249</f>
        <v>9000</v>
      </c>
      <c r="L248" s="69">
        <f>L249+L255</f>
        <v>2400</v>
      </c>
      <c r="M248" s="69">
        <f>M249+M255</f>
        <v>11400</v>
      </c>
    </row>
    <row r="249" spans="1:13" s="168" customFormat="1" ht="54" customHeight="1" x14ac:dyDescent="0.35">
      <c r="A249" s="56"/>
      <c r="B249" s="659" t="s">
        <v>199</v>
      </c>
      <c r="C249" s="68" t="s">
        <v>316</v>
      </c>
      <c r="D249" s="55" t="s">
        <v>86</v>
      </c>
      <c r="E249" s="55" t="s">
        <v>36</v>
      </c>
      <c r="F249" s="70"/>
      <c r="G249" s="71"/>
      <c r="H249" s="800"/>
      <c r="I249" s="801"/>
      <c r="J249" s="55"/>
      <c r="K249" s="69">
        <f t="shared" ref="K249:M252" si="79">K250</f>
        <v>9000</v>
      </c>
      <c r="L249" s="69">
        <f t="shared" si="79"/>
        <v>0</v>
      </c>
      <c r="M249" s="69">
        <f t="shared" si="79"/>
        <v>9000</v>
      </c>
    </row>
    <row r="250" spans="1:13" s="168" customFormat="1" ht="54" customHeight="1" x14ac:dyDescent="0.35">
      <c r="A250" s="56"/>
      <c r="B250" s="610" t="s">
        <v>220</v>
      </c>
      <c r="C250" s="68" t="s">
        <v>316</v>
      </c>
      <c r="D250" s="55" t="s">
        <v>86</v>
      </c>
      <c r="E250" s="55" t="s">
        <v>36</v>
      </c>
      <c r="F250" s="70" t="s">
        <v>221</v>
      </c>
      <c r="G250" s="71" t="s">
        <v>41</v>
      </c>
      <c r="H250" s="800" t="s">
        <v>42</v>
      </c>
      <c r="I250" s="801" t="s">
        <v>43</v>
      </c>
      <c r="J250" s="55"/>
      <c r="K250" s="69">
        <f t="shared" si="79"/>
        <v>9000</v>
      </c>
      <c r="L250" s="69">
        <f t="shared" si="79"/>
        <v>0</v>
      </c>
      <c r="M250" s="69">
        <f t="shared" si="79"/>
        <v>9000</v>
      </c>
    </row>
    <row r="251" spans="1:13" s="168" customFormat="1" ht="36" customHeight="1" x14ac:dyDescent="0.35">
      <c r="A251" s="56"/>
      <c r="B251" s="610" t="s">
        <v>359</v>
      </c>
      <c r="C251" s="68" t="s">
        <v>316</v>
      </c>
      <c r="D251" s="55" t="s">
        <v>86</v>
      </c>
      <c r="E251" s="55" t="s">
        <v>36</v>
      </c>
      <c r="F251" s="70" t="s">
        <v>221</v>
      </c>
      <c r="G251" s="71" t="s">
        <v>44</v>
      </c>
      <c r="H251" s="800" t="s">
        <v>42</v>
      </c>
      <c r="I251" s="801" t="s">
        <v>43</v>
      </c>
      <c r="J251" s="55"/>
      <c r="K251" s="69">
        <f t="shared" si="79"/>
        <v>9000</v>
      </c>
      <c r="L251" s="69">
        <f t="shared" si="79"/>
        <v>0</v>
      </c>
      <c r="M251" s="69">
        <f t="shared" si="79"/>
        <v>9000</v>
      </c>
    </row>
    <row r="252" spans="1:13" s="168" customFormat="1" ht="36" customHeight="1" x14ac:dyDescent="0.35">
      <c r="A252" s="56"/>
      <c r="B252" s="610" t="s">
        <v>318</v>
      </c>
      <c r="C252" s="68" t="s">
        <v>316</v>
      </c>
      <c r="D252" s="55" t="s">
        <v>86</v>
      </c>
      <c r="E252" s="55" t="s">
        <v>36</v>
      </c>
      <c r="F252" s="70" t="s">
        <v>221</v>
      </c>
      <c r="G252" s="71" t="s">
        <v>44</v>
      </c>
      <c r="H252" s="800" t="s">
        <v>38</v>
      </c>
      <c r="I252" s="801" t="s">
        <v>43</v>
      </c>
      <c r="J252" s="55"/>
      <c r="K252" s="69">
        <f>K253</f>
        <v>9000</v>
      </c>
      <c r="L252" s="69">
        <f t="shared" si="79"/>
        <v>0</v>
      </c>
      <c r="M252" s="69">
        <f>M253</f>
        <v>9000</v>
      </c>
    </row>
    <row r="253" spans="1:13" s="168" customFormat="1" ht="36" customHeight="1" x14ac:dyDescent="0.35">
      <c r="A253" s="56"/>
      <c r="B253" s="610" t="s">
        <v>272</v>
      </c>
      <c r="C253" s="68" t="s">
        <v>316</v>
      </c>
      <c r="D253" s="55" t="s">
        <v>86</v>
      </c>
      <c r="E253" s="55" t="s">
        <v>36</v>
      </c>
      <c r="F253" s="70" t="s">
        <v>221</v>
      </c>
      <c r="G253" s="71" t="s">
        <v>44</v>
      </c>
      <c r="H253" s="800" t="s">
        <v>38</v>
      </c>
      <c r="I253" s="801" t="s">
        <v>427</v>
      </c>
      <c r="J253" s="55"/>
      <c r="K253" s="69">
        <f t="shared" ref="K253:M253" si="80">K254</f>
        <v>9000</v>
      </c>
      <c r="L253" s="69">
        <f t="shared" si="80"/>
        <v>0</v>
      </c>
      <c r="M253" s="69">
        <f t="shared" si="80"/>
        <v>9000</v>
      </c>
    </row>
    <row r="254" spans="1:13" s="168" customFormat="1" ht="18" customHeight="1" x14ac:dyDescent="0.35">
      <c r="A254" s="56"/>
      <c r="B254" s="610" t="s">
        <v>121</v>
      </c>
      <c r="C254" s="68" t="s">
        <v>316</v>
      </c>
      <c r="D254" s="55" t="s">
        <v>86</v>
      </c>
      <c r="E254" s="55" t="s">
        <v>36</v>
      </c>
      <c r="F254" s="70" t="s">
        <v>221</v>
      </c>
      <c r="G254" s="71" t="s">
        <v>44</v>
      </c>
      <c r="H254" s="800" t="s">
        <v>38</v>
      </c>
      <c r="I254" s="801" t="s">
        <v>427</v>
      </c>
      <c r="J254" s="55" t="s">
        <v>122</v>
      </c>
      <c r="K254" s="69">
        <v>9000</v>
      </c>
      <c r="L254" s="69">
        <f>M254-K254</f>
        <v>0</v>
      </c>
      <c r="M254" s="69">
        <v>9000</v>
      </c>
    </row>
    <row r="255" spans="1:13" s="168" customFormat="1" ht="36" x14ac:dyDescent="0.35">
      <c r="A255" s="56"/>
      <c r="B255" s="696" t="s">
        <v>726</v>
      </c>
      <c r="C255" s="68" t="s">
        <v>316</v>
      </c>
      <c r="D255" s="55" t="s">
        <v>86</v>
      </c>
      <c r="E255" s="55" t="s">
        <v>61</v>
      </c>
      <c r="F255" s="70"/>
      <c r="G255" s="71"/>
      <c r="H255" s="800"/>
      <c r="I255" s="801"/>
      <c r="J255" s="55"/>
      <c r="K255" s="69"/>
      <c r="L255" s="69">
        <f t="shared" ref="L255:M259" si="81">L256</f>
        <v>2400</v>
      </c>
      <c r="M255" s="69">
        <f t="shared" si="81"/>
        <v>2400</v>
      </c>
    </row>
    <row r="256" spans="1:13" s="168" customFormat="1" ht="54" x14ac:dyDescent="0.35">
      <c r="A256" s="56"/>
      <c r="B256" s="696" t="s">
        <v>220</v>
      </c>
      <c r="C256" s="68" t="s">
        <v>316</v>
      </c>
      <c r="D256" s="55" t="s">
        <v>86</v>
      </c>
      <c r="E256" s="55" t="s">
        <v>61</v>
      </c>
      <c r="F256" s="70" t="s">
        <v>221</v>
      </c>
      <c r="G256" s="71" t="s">
        <v>41</v>
      </c>
      <c r="H256" s="800" t="s">
        <v>42</v>
      </c>
      <c r="I256" s="801" t="s">
        <v>43</v>
      </c>
      <c r="J256" s="55"/>
      <c r="K256" s="69"/>
      <c r="L256" s="69">
        <f t="shared" si="81"/>
        <v>2400</v>
      </c>
      <c r="M256" s="69">
        <f t="shared" si="81"/>
        <v>2400</v>
      </c>
    </row>
    <row r="257" spans="1:13" s="168" customFormat="1" ht="36" x14ac:dyDescent="0.35">
      <c r="A257" s="56"/>
      <c r="B257" s="696" t="s">
        <v>359</v>
      </c>
      <c r="C257" s="68" t="s">
        <v>316</v>
      </c>
      <c r="D257" s="55" t="s">
        <v>86</v>
      </c>
      <c r="E257" s="55" t="s">
        <v>61</v>
      </c>
      <c r="F257" s="70" t="s">
        <v>221</v>
      </c>
      <c r="G257" s="71" t="s">
        <v>44</v>
      </c>
      <c r="H257" s="800" t="s">
        <v>42</v>
      </c>
      <c r="I257" s="801" t="s">
        <v>43</v>
      </c>
      <c r="J257" s="55"/>
      <c r="K257" s="69"/>
      <c r="L257" s="69">
        <f t="shared" si="81"/>
        <v>2400</v>
      </c>
      <c r="M257" s="69">
        <f t="shared" si="81"/>
        <v>2400</v>
      </c>
    </row>
    <row r="258" spans="1:13" s="168" customFormat="1" ht="36" x14ac:dyDescent="0.35">
      <c r="A258" s="56"/>
      <c r="B258" s="696" t="s">
        <v>318</v>
      </c>
      <c r="C258" s="68" t="s">
        <v>316</v>
      </c>
      <c r="D258" s="55" t="s">
        <v>86</v>
      </c>
      <c r="E258" s="55" t="s">
        <v>61</v>
      </c>
      <c r="F258" s="70" t="s">
        <v>221</v>
      </c>
      <c r="G258" s="71" t="s">
        <v>44</v>
      </c>
      <c r="H258" s="800" t="s">
        <v>38</v>
      </c>
      <c r="I258" s="801" t="s">
        <v>43</v>
      </c>
      <c r="J258" s="55"/>
      <c r="K258" s="69"/>
      <c r="L258" s="69">
        <f t="shared" si="81"/>
        <v>2400</v>
      </c>
      <c r="M258" s="69">
        <f t="shared" si="81"/>
        <v>2400</v>
      </c>
    </row>
    <row r="259" spans="1:13" s="168" customFormat="1" ht="54" x14ac:dyDescent="0.35">
      <c r="A259" s="56"/>
      <c r="B259" s="696" t="s">
        <v>750</v>
      </c>
      <c r="C259" s="68" t="s">
        <v>316</v>
      </c>
      <c r="D259" s="55" t="s">
        <v>86</v>
      </c>
      <c r="E259" s="55" t="s">
        <v>61</v>
      </c>
      <c r="F259" s="70" t="s">
        <v>221</v>
      </c>
      <c r="G259" s="71" t="s">
        <v>44</v>
      </c>
      <c r="H259" s="800" t="s">
        <v>38</v>
      </c>
      <c r="I259" s="801" t="s">
        <v>751</v>
      </c>
      <c r="J259" s="55"/>
      <c r="K259" s="69"/>
      <c r="L259" s="69">
        <f t="shared" si="81"/>
        <v>2400</v>
      </c>
      <c r="M259" s="69">
        <f t="shared" si="81"/>
        <v>2400</v>
      </c>
    </row>
    <row r="260" spans="1:13" s="168" customFormat="1" ht="18" x14ac:dyDescent="0.35">
      <c r="A260" s="56"/>
      <c r="B260" s="696" t="s">
        <v>121</v>
      </c>
      <c r="C260" s="68" t="s">
        <v>316</v>
      </c>
      <c r="D260" s="55" t="s">
        <v>86</v>
      </c>
      <c r="E260" s="55" t="s">
        <v>61</v>
      </c>
      <c r="F260" s="70" t="s">
        <v>221</v>
      </c>
      <c r="G260" s="71" t="s">
        <v>44</v>
      </c>
      <c r="H260" s="800" t="s">
        <v>38</v>
      </c>
      <c r="I260" s="801" t="s">
        <v>751</v>
      </c>
      <c r="J260" s="55" t="s">
        <v>122</v>
      </c>
      <c r="K260" s="69"/>
      <c r="L260" s="69">
        <f>M260-K260</f>
        <v>2400</v>
      </c>
      <c r="M260" s="69">
        <v>2400</v>
      </c>
    </row>
    <row r="261" spans="1:13" s="168" customFormat="1" ht="18" customHeight="1" x14ac:dyDescent="0.35">
      <c r="A261" s="56"/>
      <c r="B261" s="610"/>
      <c r="C261" s="68"/>
      <c r="D261" s="55"/>
      <c r="E261" s="55"/>
      <c r="F261" s="70"/>
      <c r="G261" s="71"/>
      <c r="H261" s="800"/>
      <c r="I261" s="801"/>
      <c r="J261" s="55"/>
      <c r="K261" s="69"/>
      <c r="L261" s="69"/>
      <c r="M261" s="69"/>
    </row>
    <row r="262" spans="1:13" s="169" customFormat="1" ht="52.2" customHeight="1" x14ac:dyDescent="0.3">
      <c r="A262" s="162">
        <v>3</v>
      </c>
      <c r="B262" s="656" t="s">
        <v>34</v>
      </c>
      <c r="C262" s="63" t="s">
        <v>127</v>
      </c>
      <c r="D262" s="64"/>
      <c r="E262" s="64"/>
      <c r="F262" s="65"/>
      <c r="G262" s="66"/>
      <c r="H262" s="66"/>
      <c r="I262" s="67"/>
      <c r="J262" s="64"/>
      <c r="K262" s="77">
        <f>K263+K273</f>
        <v>7055.7999999999984</v>
      </c>
      <c r="L262" s="77">
        <f t="shared" ref="L262" si="82">L263+L273</f>
        <v>0</v>
      </c>
      <c r="M262" s="77">
        <f>M263+M273</f>
        <v>7055.7999999999984</v>
      </c>
    </row>
    <row r="263" spans="1:13" s="169" customFormat="1" ht="18" customHeight="1" x14ac:dyDescent="0.35">
      <c r="A263" s="56"/>
      <c r="B263" s="610" t="s">
        <v>35</v>
      </c>
      <c r="C263" s="68" t="s">
        <v>127</v>
      </c>
      <c r="D263" s="55" t="s">
        <v>36</v>
      </c>
      <c r="E263" s="55"/>
      <c r="F263" s="799"/>
      <c r="G263" s="800"/>
      <c r="H263" s="800"/>
      <c r="I263" s="801"/>
      <c r="J263" s="55"/>
      <c r="K263" s="69">
        <f t="shared" ref="K263:M265" si="83">K264</f>
        <v>7007.4999999999982</v>
      </c>
      <c r="L263" s="69">
        <f t="shared" si="83"/>
        <v>0</v>
      </c>
      <c r="M263" s="69">
        <f t="shared" si="83"/>
        <v>7007.4999999999982</v>
      </c>
    </row>
    <row r="264" spans="1:13" s="169" customFormat="1" ht="72" customHeight="1" x14ac:dyDescent="0.35">
      <c r="A264" s="56"/>
      <c r="B264" s="610" t="s">
        <v>128</v>
      </c>
      <c r="C264" s="68" t="s">
        <v>127</v>
      </c>
      <c r="D264" s="55" t="s">
        <v>36</v>
      </c>
      <c r="E264" s="55" t="s">
        <v>79</v>
      </c>
      <c r="F264" s="799"/>
      <c r="G264" s="800"/>
      <c r="H264" s="800"/>
      <c r="I264" s="801"/>
      <c r="J264" s="55"/>
      <c r="K264" s="69">
        <f t="shared" si="83"/>
        <v>7007.4999999999982</v>
      </c>
      <c r="L264" s="69">
        <f t="shared" si="83"/>
        <v>0</v>
      </c>
      <c r="M264" s="69">
        <f t="shared" si="83"/>
        <v>7007.4999999999982</v>
      </c>
    </row>
    <row r="265" spans="1:13" s="169" customFormat="1" ht="36" customHeight="1" x14ac:dyDescent="0.35">
      <c r="A265" s="56"/>
      <c r="B265" s="642" t="s">
        <v>129</v>
      </c>
      <c r="C265" s="68" t="s">
        <v>127</v>
      </c>
      <c r="D265" s="55" t="s">
        <v>36</v>
      </c>
      <c r="E265" s="55" t="s">
        <v>79</v>
      </c>
      <c r="F265" s="799" t="s">
        <v>130</v>
      </c>
      <c r="G265" s="800" t="s">
        <v>41</v>
      </c>
      <c r="H265" s="800" t="s">
        <v>42</v>
      </c>
      <c r="I265" s="801" t="s">
        <v>43</v>
      </c>
      <c r="J265" s="55"/>
      <c r="K265" s="69">
        <f t="shared" si="83"/>
        <v>7007.4999999999982</v>
      </c>
      <c r="L265" s="69">
        <f t="shared" si="83"/>
        <v>0</v>
      </c>
      <c r="M265" s="69">
        <f t="shared" si="83"/>
        <v>7007.4999999999982</v>
      </c>
    </row>
    <row r="266" spans="1:13" s="169" customFormat="1" ht="36" customHeight="1" x14ac:dyDescent="0.35">
      <c r="A266" s="56"/>
      <c r="B266" s="642" t="s">
        <v>131</v>
      </c>
      <c r="C266" s="68" t="s">
        <v>127</v>
      </c>
      <c r="D266" s="55" t="s">
        <v>36</v>
      </c>
      <c r="E266" s="55" t="s">
        <v>79</v>
      </c>
      <c r="F266" s="799" t="s">
        <v>130</v>
      </c>
      <c r="G266" s="800" t="s">
        <v>44</v>
      </c>
      <c r="H266" s="800" t="s">
        <v>42</v>
      </c>
      <c r="I266" s="801" t="s">
        <v>43</v>
      </c>
      <c r="J266" s="55"/>
      <c r="K266" s="69">
        <f>K267+K271</f>
        <v>7007.4999999999982</v>
      </c>
      <c r="L266" s="69">
        <f t="shared" ref="L266" si="84">L267+L271</f>
        <v>0</v>
      </c>
      <c r="M266" s="69">
        <f>M267+M271</f>
        <v>7007.4999999999982</v>
      </c>
    </row>
    <row r="267" spans="1:13" s="169" customFormat="1" ht="36" customHeight="1" x14ac:dyDescent="0.35">
      <c r="A267" s="56"/>
      <c r="B267" s="610" t="s">
        <v>46</v>
      </c>
      <c r="C267" s="68" t="s">
        <v>127</v>
      </c>
      <c r="D267" s="55" t="s">
        <v>36</v>
      </c>
      <c r="E267" s="55" t="s">
        <v>79</v>
      </c>
      <c r="F267" s="799" t="s">
        <v>130</v>
      </c>
      <c r="G267" s="800" t="s">
        <v>44</v>
      </c>
      <c r="H267" s="800" t="s">
        <v>42</v>
      </c>
      <c r="I267" s="801" t="s">
        <v>47</v>
      </c>
      <c r="J267" s="55"/>
      <c r="K267" s="69">
        <f>K268+K269+K270</f>
        <v>5840.3999999999987</v>
      </c>
      <c r="L267" s="69">
        <f t="shared" ref="L267" si="85">L268+L269+L270</f>
        <v>0</v>
      </c>
      <c r="M267" s="69">
        <f>M268+M269+M270</f>
        <v>5840.3999999999987</v>
      </c>
    </row>
    <row r="268" spans="1:13" s="169" customFormat="1" ht="108" customHeight="1" x14ac:dyDescent="0.35">
      <c r="A268" s="56"/>
      <c r="B268" s="642" t="s">
        <v>48</v>
      </c>
      <c r="C268" s="68" t="s">
        <v>127</v>
      </c>
      <c r="D268" s="55" t="s">
        <v>36</v>
      </c>
      <c r="E268" s="55" t="s">
        <v>79</v>
      </c>
      <c r="F268" s="799" t="s">
        <v>130</v>
      </c>
      <c r="G268" s="800" t="s">
        <v>44</v>
      </c>
      <c r="H268" s="800" t="s">
        <v>42</v>
      </c>
      <c r="I268" s="801" t="s">
        <v>47</v>
      </c>
      <c r="J268" s="55" t="s">
        <v>49</v>
      </c>
      <c r="K268" s="69">
        <f>5437.4+10.9+49.4</f>
        <v>5497.6999999999989</v>
      </c>
      <c r="L268" s="69">
        <f>M268-K268</f>
        <v>0</v>
      </c>
      <c r="M268" s="69">
        <f>5437.4+10.9+49.4</f>
        <v>5497.6999999999989</v>
      </c>
    </row>
    <row r="269" spans="1:13" s="169" customFormat="1" ht="54" customHeight="1" x14ac:dyDescent="0.35">
      <c r="A269" s="56"/>
      <c r="B269" s="610" t="s">
        <v>53</v>
      </c>
      <c r="C269" s="68" t="s">
        <v>127</v>
      </c>
      <c r="D269" s="55" t="s">
        <v>36</v>
      </c>
      <c r="E269" s="55" t="s">
        <v>79</v>
      </c>
      <c r="F269" s="799" t="s">
        <v>130</v>
      </c>
      <c r="G269" s="800" t="s">
        <v>44</v>
      </c>
      <c r="H269" s="800" t="s">
        <v>42</v>
      </c>
      <c r="I269" s="801" t="s">
        <v>47</v>
      </c>
      <c r="J269" s="55" t="s">
        <v>54</v>
      </c>
      <c r="K269" s="69">
        <f>270.8+40.4+12.5</f>
        <v>323.7</v>
      </c>
      <c r="L269" s="69">
        <f>M269-K269</f>
        <v>0</v>
      </c>
      <c r="M269" s="69">
        <f>270.8+40.4+12.5</f>
        <v>323.7</v>
      </c>
    </row>
    <row r="270" spans="1:13" s="169" customFormat="1" ht="18" customHeight="1" x14ac:dyDescent="0.35">
      <c r="A270" s="56"/>
      <c r="B270" s="610" t="s">
        <v>55</v>
      </c>
      <c r="C270" s="68" t="s">
        <v>127</v>
      </c>
      <c r="D270" s="55" t="s">
        <v>36</v>
      </c>
      <c r="E270" s="55" t="s">
        <v>79</v>
      </c>
      <c r="F270" s="799" t="s">
        <v>130</v>
      </c>
      <c r="G270" s="800" t="s">
        <v>44</v>
      </c>
      <c r="H270" s="800" t="s">
        <v>42</v>
      </c>
      <c r="I270" s="801" t="s">
        <v>47</v>
      </c>
      <c r="J270" s="55" t="s">
        <v>56</v>
      </c>
      <c r="K270" s="69">
        <v>19</v>
      </c>
      <c r="L270" s="69">
        <f>M270-K270</f>
        <v>0</v>
      </c>
      <c r="M270" s="69">
        <v>19</v>
      </c>
    </row>
    <row r="271" spans="1:13" s="169" customFormat="1" ht="36" customHeight="1" x14ac:dyDescent="0.35">
      <c r="A271" s="56"/>
      <c r="B271" s="610" t="s">
        <v>233</v>
      </c>
      <c r="C271" s="68" t="s">
        <v>127</v>
      </c>
      <c r="D271" s="55" t="s">
        <v>36</v>
      </c>
      <c r="E271" s="55" t="s">
        <v>79</v>
      </c>
      <c r="F271" s="799" t="s">
        <v>130</v>
      </c>
      <c r="G271" s="800" t="s">
        <v>44</v>
      </c>
      <c r="H271" s="800" t="s">
        <v>42</v>
      </c>
      <c r="I271" s="801" t="s">
        <v>132</v>
      </c>
      <c r="J271" s="55"/>
      <c r="K271" s="69">
        <f>K272</f>
        <v>1167.0999999999999</v>
      </c>
      <c r="L271" s="69">
        <f t="shared" ref="L271" si="86">L272</f>
        <v>0</v>
      </c>
      <c r="M271" s="69">
        <f>M272</f>
        <v>1167.0999999999999</v>
      </c>
    </row>
    <row r="272" spans="1:13" s="169" customFormat="1" ht="108" customHeight="1" x14ac:dyDescent="0.35">
      <c r="A272" s="56"/>
      <c r="B272" s="610" t="s">
        <v>48</v>
      </c>
      <c r="C272" s="68" t="s">
        <v>127</v>
      </c>
      <c r="D272" s="55" t="s">
        <v>36</v>
      </c>
      <c r="E272" s="55" t="s">
        <v>79</v>
      </c>
      <c r="F272" s="799" t="s">
        <v>130</v>
      </c>
      <c r="G272" s="800" t="s">
        <v>44</v>
      </c>
      <c r="H272" s="800" t="s">
        <v>42</v>
      </c>
      <c r="I272" s="801" t="s">
        <v>132</v>
      </c>
      <c r="J272" s="55" t="s">
        <v>49</v>
      </c>
      <c r="K272" s="69">
        <v>1167.0999999999999</v>
      </c>
      <c r="L272" s="69">
        <f>M272-K272</f>
        <v>0</v>
      </c>
      <c r="M272" s="69">
        <v>1167.0999999999999</v>
      </c>
    </row>
    <row r="273" spans="1:13" s="169" customFormat="1" ht="18" customHeight="1" x14ac:dyDescent="0.35">
      <c r="A273" s="56"/>
      <c r="B273" s="610" t="s">
        <v>177</v>
      </c>
      <c r="C273" s="68" t="s">
        <v>127</v>
      </c>
      <c r="D273" s="55" t="s">
        <v>221</v>
      </c>
      <c r="E273" s="55"/>
      <c r="F273" s="799"/>
      <c r="G273" s="800"/>
      <c r="H273" s="800"/>
      <c r="I273" s="801"/>
      <c r="J273" s="55"/>
      <c r="K273" s="69">
        <f t="shared" ref="K273:M277" si="87">K274</f>
        <v>48.3</v>
      </c>
      <c r="L273" s="69">
        <f t="shared" si="87"/>
        <v>0</v>
      </c>
      <c r="M273" s="69">
        <f t="shared" si="87"/>
        <v>48.3</v>
      </c>
    </row>
    <row r="274" spans="1:13" s="169" customFormat="1" ht="36" customHeight="1" x14ac:dyDescent="0.35">
      <c r="A274" s="56"/>
      <c r="B274" s="607" t="s">
        <v>542</v>
      </c>
      <c r="C274" s="68" t="s">
        <v>127</v>
      </c>
      <c r="D274" s="55" t="s">
        <v>221</v>
      </c>
      <c r="E274" s="55" t="s">
        <v>63</v>
      </c>
      <c r="F274" s="799"/>
      <c r="G274" s="800"/>
      <c r="H274" s="800"/>
      <c r="I274" s="801"/>
      <c r="J274" s="55"/>
      <c r="K274" s="69">
        <f t="shared" si="87"/>
        <v>48.3</v>
      </c>
      <c r="L274" s="69">
        <f t="shared" si="87"/>
        <v>0</v>
      </c>
      <c r="M274" s="69">
        <f t="shared" si="87"/>
        <v>48.3</v>
      </c>
    </row>
    <row r="275" spans="1:13" s="169" customFormat="1" ht="36" customHeight="1" x14ac:dyDescent="0.35">
      <c r="A275" s="56"/>
      <c r="B275" s="642" t="s">
        <v>129</v>
      </c>
      <c r="C275" s="68" t="s">
        <v>127</v>
      </c>
      <c r="D275" s="55" t="s">
        <v>221</v>
      </c>
      <c r="E275" s="55" t="s">
        <v>63</v>
      </c>
      <c r="F275" s="799" t="s">
        <v>130</v>
      </c>
      <c r="G275" s="800" t="s">
        <v>41</v>
      </c>
      <c r="H275" s="800" t="s">
        <v>42</v>
      </c>
      <c r="I275" s="133" t="s">
        <v>43</v>
      </c>
      <c r="J275" s="55"/>
      <c r="K275" s="69">
        <f t="shared" si="87"/>
        <v>48.3</v>
      </c>
      <c r="L275" s="69">
        <f t="shared" si="87"/>
        <v>0</v>
      </c>
      <c r="M275" s="69">
        <f t="shared" si="87"/>
        <v>48.3</v>
      </c>
    </row>
    <row r="276" spans="1:13" s="169" customFormat="1" ht="36" customHeight="1" x14ac:dyDescent="0.35">
      <c r="A276" s="56"/>
      <c r="B276" s="642" t="s">
        <v>131</v>
      </c>
      <c r="C276" s="68" t="s">
        <v>127</v>
      </c>
      <c r="D276" s="55" t="s">
        <v>221</v>
      </c>
      <c r="E276" s="55" t="s">
        <v>63</v>
      </c>
      <c r="F276" s="799" t="s">
        <v>130</v>
      </c>
      <c r="G276" s="800" t="s">
        <v>44</v>
      </c>
      <c r="H276" s="800" t="s">
        <v>42</v>
      </c>
      <c r="I276" s="133" t="s">
        <v>43</v>
      </c>
      <c r="J276" s="55"/>
      <c r="K276" s="69">
        <f t="shared" si="87"/>
        <v>48.3</v>
      </c>
      <c r="L276" s="69">
        <f t="shared" si="87"/>
        <v>0</v>
      </c>
      <c r="M276" s="69">
        <f t="shared" si="87"/>
        <v>48.3</v>
      </c>
    </row>
    <row r="277" spans="1:13" s="169" customFormat="1" ht="36" customHeight="1" x14ac:dyDescent="0.35">
      <c r="A277" s="56"/>
      <c r="B277" s="607" t="s">
        <v>544</v>
      </c>
      <c r="C277" s="68" t="s">
        <v>127</v>
      </c>
      <c r="D277" s="55" t="s">
        <v>221</v>
      </c>
      <c r="E277" s="55" t="s">
        <v>63</v>
      </c>
      <c r="F277" s="799" t="s">
        <v>130</v>
      </c>
      <c r="G277" s="800" t="s">
        <v>44</v>
      </c>
      <c r="H277" s="800" t="s">
        <v>42</v>
      </c>
      <c r="I277" s="800" t="s">
        <v>543</v>
      </c>
      <c r="J277" s="55"/>
      <c r="K277" s="69">
        <f t="shared" si="87"/>
        <v>48.3</v>
      </c>
      <c r="L277" s="69">
        <f t="shared" si="87"/>
        <v>0</v>
      </c>
      <c r="M277" s="69">
        <f t="shared" si="87"/>
        <v>48.3</v>
      </c>
    </row>
    <row r="278" spans="1:13" s="169" customFormat="1" ht="54" customHeight="1" x14ac:dyDescent="0.35">
      <c r="A278" s="56"/>
      <c r="B278" s="607" t="s">
        <v>53</v>
      </c>
      <c r="C278" s="68" t="s">
        <v>127</v>
      </c>
      <c r="D278" s="55" t="s">
        <v>221</v>
      </c>
      <c r="E278" s="55" t="s">
        <v>63</v>
      </c>
      <c r="F278" s="799" t="s">
        <v>130</v>
      </c>
      <c r="G278" s="800" t="s">
        <v>44</v>
      </c>
      <c r="H278" s="800" t="s">
        <v>42</v>
      </c>
      <c r="I278" s="800" t="s">
        <v>543</v>
      </c>
      <c r="J278" s="597" t="s">
        <v>54</v>
      </c>
      <c r="K278" s="69">
        <v>48.3</v>
      </c>
      <c r="L278" s="69">
        <f>M278-K278</f>
        <v>0</v>
      </c>
      <c r="M278" s="69">
        <v>48.3</v>
      </c>
    </row>
    <row r="279" spans="1:13" s="183" customFormat="1" ht="18" customHeight="1" x14ac:dyDescent="0.35">
      <c r="A279" s="264"/>
      <c r="B279" s="661"/>
      <c r="C279" s="593"/>
      <c r="D279" s="263"/>
      <c r="E279" s="263"/>
      <c r="F279" s="340"/>
      <c r="G279" s="340"/>
      <c r="H279" s="340"/>
      <c r="I279" s="340"/>
      <c r="J279" s="596"/>
      <c r="K279" s="315"/>
      <c r="L279" s="315"/>
      <c r="M279" s="315"/>
    </row>
    <row r="280" spans="1:13" s="177" customFormat="1" ht="52.2" customHeight="1" x14ac:dyDescent="0.3">
      <c r="A280" s="591">
        <v>4</v>
      </c>
      <c r="B280" s="662" t="s">
        <v>6</v>
      </c>
      <c r="C280" s="592" t="s">
        <v>434</v>
      </c>
      <c r="D280" s="594"/>
      <c r="E280" s="594"/>
      <c r="F280" s="173"/>
      <c r="G280" s="174"/>
      <c r="H280" s="174"/>
      <c r="I280" s="175"/>
      <c r="J280" s="594"/>
      <c r="K280" s="595">
        <f>K281+K336+K343+K325+K366+K375</f>
        <v>288207.21006999997</v>
      </c>
      <c r="L280" s="595">
        <f>L281+L336+L343+L325+L366+L375</f>
        <v>16176.099999999999</v>
      </c>
      <c r="M280" s="595">
        <f>M281+M336+M343+M325+M366+M375</f>
        <v>304383.31007000001</v>
      </c>
    </row>
    <row r="281" spans="1:13" s="183" customFormat="1" ht="18" customHeight="1" x14ac:dyDescent="0.35">
      <c r="A281" s="178"/>
      <c r="B281" s="653" t="s">
        <v>35</v>
      </c>
      <c r="C281" s="179" t="s">
        <v>434</v>
      </c>
      <c r="D281" s="180" t="s">
        <v>36</v>
      </c>
      <c r="E281" s="134"/>
      <c r="F281" s="181"/>
      <c r="G281" s="132"/>
      <c r="H281" s="132"/>
      <c r="I281" s="133"/>
      <c r="J281" s="134"/>
      <c r="K281" s="182">
        <f>K282</f>
        <v>36956.70532999999</v>
      </c>
      <c r="L281" s="182">
        <f t="shared" ref="L281" si="88">L282</f>
        <v>2110.35664</v>
      </c>
      <c r="M281" s="182">
        <f>M282</f>
        <v>39067.061969999995</v>
      </c>
    </row>
    <row r="282" spans="1:13" s="177" customFormat="1" ht="18" customHeight="1" x14ac:dyDescent="0.35">
      <c r="A282" s="178"/>
      <c r="B282" s="653" t="s">
        <v>68</v>
      </c>
      <c r="C282" s="179" t="s">
        <v>434</v>
      </c>
      <c r="D282" s="180" t="s">
        <v>36</v>
      </c>
      <c r="E282" s="180" t="s">
        <v>69</v>
      </c>
      <c r="F282" s="181"/>
      <c r="G282" s="132"/>
      <c r="H282" s="132"/>
      <c r="I282" s="133"/>
      <c r="J282" s="134"/>
      <c r="K282" s="182">
        <f>K283+K319+K314</f>
        <v>36956.70532999999</v>
      </c>
      <c r="L282" s="182">
        <f t="shared" ref="L282" si="89">L283+L319+L314</f>
        <v>2110.35664</v>
      </c>
      <c r="M282" s="182">
        <f>M283+M319+M314</f>
        <v>39067.061969999995</v>
      </c>
    </row>
    <row r="283" spans="1:13" s="183" customFormat="1" ht="54" customHeight="1" x14ac:dyDescent="0.35">
      <c r="A283" s="178"/>
      <c r="B283" s="653" t="s">
        <v>222</v>
      </c>
      <c r="C283" s="179" t="s">
        <v>434</v>
      </c>
      <c r="D283" s="180" t="s">
        <v>36</v>
      </c>
      <c r="E283" s="180" t="s">
        <v>69</v>
      </c>
      <c r="F283" s="142" t="s">
        <v>223</v>
      </c>
      <c r="G283" s="132" t="s">
        <v>41</v>
      </c>
      <c r="H283" s="132" t="s">
        <v>42</v>
      </c>
      <c r="I283" s="133" t="s">
        <v>43</v>
      </c>
      <c r="J283" s="134"/>
      <c r="K283" s="182">
        <f>K284+K291+K309</f>
        <v>31420.062999999995</v>
      </c>
      <c r="L283" s="182">
        <f t="shared" ref="L283" si="90">L284+L291+L309</f>
        <v>624.75999999999976</v>
      </c>
      <c r="M283" s="182">
        <f>M284+M291+M309</f>
        <v>32044.822999999997</v>
      </c>
    </row>
    <row r="284" spans="1:13" s="183" customFormat="1" ht="36" customHeight="1" x14ac:dyDescent="0.35">
      <c r="A284" s="178"/>
      <c r="B284" s="653" t="s">
        <v>224</v>
      </c>
      <c r="C284" s="179" t="s">
        <v>434</v>
      </c>
      <c r="D284" s="180" t="s">
        <v>36</v>
      </c>
      <c r="E284" s="180" t="s">
        <v>69</v>
      </c>
      <c r="F284" s="184" t="s">
        <v>223</v>
      </c>
      <c r="G284" s="185" t="s">
        <v>44</v>
      </c>
      <c r="H284" s="185" t="s">
        <v>42</v>
      </c>
      <c r="I284" s="186" t="s">
        <v>43</v>
      </c>
      <c r="J284" s="134"/>
      <c r="K284" s="182">
        <f>K285+K288</f>
        <v>5535.7860000000001</v>
      </c>
      <c r="L284" s="182">
        <f t="shared" ref="L284" si="91">L285+L288</f>
        <v>0</v>
      </c>
      <c r="M284" s="182">
        <f>M285+M288</f>
        <v>5535.7860000000001</v>
      </c>
    </row>
    <row r="285" spans="1:13" s="183" customFormat="1" ht="90" customHeight="1" x14ac:dyDescent="0.35">
      <c r="A285" s="178"/>
      <c r="B285" s="653" t="s">
        <v>311</v>
      </c>
      <c r="C285" s="179" t="s">
        <v>434</v>
      </c>
      <c r="D285" s="180" t="s">
        <v>36</v>
      </c>
      <c r="E285" s="180" t="s">
        <v>69</v>
      </c>
      <c r="F285" s="131" t="s">
        <v>223</v>
      </c>
      <c r="G285" s="132" t="s">
        <v>44</v>
      </c>
      <c r="H285" s="132" t="s">
        <v>36</v>
      </c>
      <c r="I285" s="133" t="s">
        <v>43</v>
      </c>
      <c r="J285" s="134"/>
      <c r="K285" s="182">
        <f t="shared" ref="K285:M286" si="92">K286</f>
        <v>800.7</v>
      </c>
      <c r="L285" s="182">
        <f t="shared" si="92"/>
        <v>0</v>
      </c>
      <c r="M285" s="182">
        <f t="shared" si="92"/>
        <v>800.7</v>
      </c>
    </row>
    <row r="286" spans="1:13" s="183" customFormat="1" ht="54" customHeight="1" x14ac:dyDescent="0.35">
      <c r="A286" s="178"/>
      <c r="B286" s="653" t="s">
        <v>225</v>
      </c>
      <c r="C286" s="179" t="s">
        <v>434</v>
      </c>
      <c r="D286" s="180" t="s">
        <v>36</v>
      </c>
      <c r="E286" s="180" t="s">
        <v>69</v>
      </c>
      <c r="F286" s="131" t="s">
        <v>223</v>
      </c>
      <c r="G286" s="132" t="s">
        <v>44</v>
      </c>
      <c r="H286" s="132" t="s">
        <v>36</v>
      </c>
      <c r="I286" s="133" t="s">
        <v>312</v>
      </c>
      <c r="J286" s="134"/>
      <c r="K286" s="182">
        <f t="shared" si="92"/>
        <v>800.7</v>
      </c>
      <c r="L286" s="182">
        <f t="shared" si="92"/>
        <v>0</v>
      </c>
      <c r="M286" s="182">
        <f t="shared" si="92"/>
        <v>800.7</v>
      </c>
    </row>
    <row r="287" spans="1:13" s="177" customFormat="1" ht="54" customHeight="1" x14ac:dyDescent="0.35">
      <c r="A287" s="178"/>
      <c r="B287" s="663" t="s">
        <v>53</v>
      </c>
      <c r="C287" s="179" t="s">
        <v>434</v>
      </c>
      <c r="D287" s="180" t="s">
        <v>36</v>
      </c>
      <c r="E287" s="180" t="s">
        <v>69</v>
      </c>
      <c r="F287" s="131" t="s">
        <v>223</v>
      </c>
      <c r="G287" s="132" t="s">
        <v>44</v>
      </c>
      <c r="H287" s="132" t="s">
        <v>36</v>
      </c>
      <c r="I287" s="133" t="s">
        <v>312</v>
      </c>
      <c r="J287" s="134" t="s">
        <v>54</v>
      </c>
      <c r="K287" s="182">
        <v>800.7</v>
      </c>
      <c r="L287" s="69">
        <f>M287-K287</f>
        <v>0</v>
      </c>
      <c r="M287" s="182">
        <v>800.7</v>
      </c>
    </row>
    <row r="288" spans="1:13" s="177" customFormat="1" ht="36" customHeight="1" x14ac:dyDescent="0.35">
      <c r="A288" s="178"/>
      <c r="B288" s="663" t="s">
        <v>358</v>
      </c>
      <c r="C288" s="179" t="s">
        <v>434</v>
      </c>
      <c r="D288" s="180" t="s">
        <v>36</v>
      </c>
      <c r="E288" s="180" t="s">
        <v>69</v>
      </c>
      <c r="F288" s="131" t="s">
        <v>223</v>
      </c>
      <c r="G288" s="132" t="s">
        <v>44</v>
      </c>
      <c r="H288" s="132" t="s">
        <v>38</v>
      </c>
      <c r="I288" s="133" t="s">
        <v>43</v>
      </c>
      <c r="J288" s="134"/>
      <c r="K288" s="182">
        <f>K289</f>
        <v>4735.0860000000002</v>
      </c>
      <c r="L288" s="182">
        <f t="shared" ref="L288" si="93">L289</f>
        <v>0</v>
      </c>
      <c r="M288" s="182">
        <f>M289</f>
        <v>4735.0860000000002</v>
      </c>
    </row>
    <row r="289" spans="1:14" s="177" customFormat="1" ht="36" customHeight="1" x14ac:dyDescent="0.35">
      <c r="A289" s="178"/>
      <c r="B289" s="663" t="s">
        <v>357</v>
      </c>
      <c r="C289" s="179" t="s">
        <v>434</v>
      </c>
      <c r="D289" s="180" t="s">
        <v>36</v>
      </c>
      <c r="E289" s="180" t="s">
        <v>69</v>
      </c>
      <c r="F289" s="131" t="s">
        <v>223</v>
      </c>
      <c r="G289" s="132" t="s">
        <v>44</v>
      </c>
      <c r="H289" s="132" t="s">
        <v>38</v>
      </c>
      <c r="I289" s="133" t="s">
        <v>356</v>
      </c>
      <c r="J289" s="134"/>
      <c r="K289" s="182">
        <f>SUM(K290:K290)</f>
        <v>4735.0860000000002</v>
      </c>
      <c r="L289" s="182">
        <f t="shared" ref="L289" si="94">SUM(L290:L290)</f>
        <v>0</v>
      </c>
      <c r="M289" s="182">
        <f>SUM(M290:M290)</f>
        <v>4735.0860000000002</v>
      </c>
    </row>
    <row r="290" spans="1:14" s="177" customFormat="1" ht="54" customHeight="1" x14ac:dyDescent="0.35">
      <c r="A290" s="178"/>
      <c r="B290" s="663" t="s">
        <v>53</v>
      </c>
      <c r="C290" s="179" t="s">
        <v>434</v>
      </c>
      <c r="D290" s="180" t="s">
        <v>36</v>
      </c>
      <c r="E290" s="180" t="s">
        <v>69</v>
      </c>
      <c r="F290" s="131" t="s">
        <v>223</v>
      </c>
      <c r="G290" s="132" t="s">
        <v>44</v>
      </c>
      <c r="H290" s="132" t="s">
        <v>38</v>
      </c>
      <c r="I290" s="133" t="s">
        <v>356</v>
      </c>
      <c r="J290" s="134" t="s">
        <v>54</v>
      </c>
      <c r="K290" s="182">
        <f>1239.2+239.15+8.418+1590+190.4+700+52.2+81.918+594.5+39.3</f>
        <v>4735.0860000000002</v>
      </c>
      <c r="L290" s="69">
        <f>M290-K290</f>
        <v>0</v>
      </c>
      <c r="M290" s="182">
        <f>1239.2+239.15+8.418+1590+190.4+700+52.2+81.918+594.5+39.3</f>
        <v>4735.0860000000002</v>
      </c>
    </row>
    <row r="291" spans="1:14" s="177" customFormat="1" ht="36" customHeight="1" x14ac:dyDescent="0.35">
      <c r="A291" s="178"/>
      <c r="B291" s="653" t="s">
        <v>226</v>
      </c>
      <c r="C291" s="179" t="s">
        <v>434</v>
      </c>
      <c r="D291" s="180" t="s">
        <v>36</v>
      </c>
      <c r="E291" s="180" t="s">
        <v>69</v>
      </c>
      <c r="F291" s="142" t="s">
        <v>223</v>
      </c>
      <c r="G291" s="132" t="s">
        <v>87</v>
      </c>
      <c r="H291" s="132" t="s">
        <v>42</v>
      </c>
      <c r="I291" s="133" t="s">
        <v>43</v>
      </c>
      <c r="J291" s="134"/>
      <c r="K291" s="182">
        <f>K292+K303+K306</f>
        <v>21438.569999999996</v>
      </c>
      <c r="L291" s="182">
        <f t="shared" ref="L291" si="95">L292+L303+L306</f>
        <v>359.26</v>
      </c>
      <c r="M291" s="182">
        <f>M292+M303+M306</f>
        <v>21797.829999999998</v>
      </c>
    </row>
    <row r="292" spans="1:14" s="183" customFormat="1" ht="78.75" customHeight="1" x14ac:dyDescent="0.35">
      <c r="A292" s="178"/>
      <c r="B292" s="653" t="s">
        <v>315</v>
      </c>
      <c r="C292" s="179" t="s">
        <v>434</v>
      </c>
      <c r="D292" s="180" t="s">
        <v>36</v>
      </c>
      <c r="E292" s="180" t="s">
        <v>69</v>
      </c>
      <c r="F292" s="142" t="s">
        <v>223</v>
      </c>
      <c r="G292" s="132" t="s">
        <v>87</v>
      </c>
      <c r="H292" s="132" t="s">
        <v>36</v>
      </c>
      <c r="I292" s="133" t="s">
        <v>43</v>
      </c>
      <c r="J292" s="134"/>
      <c r="K292" s="182">
        <f>K293+K297+K301</f>
        <v>20533.87</v>
      </c>
      <c r="L292" s="182">
        <f t="shared" ref="L292" si="96">L293+L297+L301</f>
        <v>304.96000000000004</v>
      </c>
      <c r="M292" s="182">
        <f>M293+M297+M301</f>
        <v>20838.829999999998</v>
      </c>
    </row>
    <row r="293" spans="1:14" s="177" customFormat="1" ht="36" customHeight="1" x14ac:dyDescent="0.35">
      <c r="A293" s="178"/>
      <c r="B293" s="653" t="s">
        <v>46</v>
      </c>
      <c r="C293" s="179" t="s">
        <v>434</v>
      </c>
      <c r="D293" s="180" t="s">
        <v>36</v>
      </c>
      <c r="E293" s="180" t="s">
        <v>69</v>
      </c>
      <c r="F293" s="187" t="s">
        <v>223</v>
      </c>
      <c r="G293" s="185" t="s">
        <v>87</v>
      </c>
      <c r="H293" s="185" t="s">
        <v>36</v>
      </c>
      <c r="I293" s="186" t="s">
        <v>47</v>
      </c>
      <c r="J293" s="134"/>
      <c r="K293" s="182">
        <f>K294+K295+K296</f>
        <v>10992.5</v>
      </c>
      <c r="L293" s="182">
        <f t="shared" ref="L293" si="97">L294+L295+L296</f>
        <v>0</v>
      </c>
      <c r="M293" s="182">
        <f>M294+M295+M296</f>
        <v>10992.5</v>
      </c>
    </row>
    <row r="294" spans="1:14" s="183" customFormat="1" ht="108" customHeight="1" x14ac:dyDescent="0.35">
      <c r="A294" s="178"/>
      <c r="B294" s="653" t="s">
        <v>48</v>
      </c>
      <c r="C294" s="179" t="s">
        <v>434</v>
      </c>
      <c r="D294" s="180" t="s">
        <v>36</v>
      </c>
      <c r="E294" s="180" t="s">
        <v>69</v>
      </c>
      <c r="F294" s="142" t="s">
        <v>223</v>
      </c>
      <c r="G294" s="132" t="s">
        <v>87</v>
      </c>
      <c r="H294" s="132" t="s">
        <v>36</v>
      </c>
      <c r="I294" s="133" t="s">
        <v>47</v>
      </c>
      <c r="J294" s="134" t="s">
        <v>49</v>
      </c>
      <c r="K294" s="182">
        <f>15923.4+171.5-5000-450</f>
        <v>10644.9</v>
      </c>
      <c r="L294" s="69">
        <f>M294-K294</f>
        <v>0</v>
      </c>
      <c r="M294" s="182">
        <f>15923.4+171.5-5000-450</f>
        <v>10644.9</v>
      </c>
    </row>
    <row r="295" spans="1:14" s="183" customFormat="1" ht="54" customHeight="1" x14ac:dyDescent="0.35">
      <c r="A295" s="178"/>
      <c r="B295" s="663" t="s">
        <v>53</v>
      </c>
      <c r="C295" s="179" t="s">
        <v>434</v>
      </c>
      <c r="D295" s="180" t="s">
        <v>36</v>
      </c>
      <c r="E295" s="180" t="s">
        <v>69</v>
      </c>
      <c r="F295" s="142" t="s">
        <v>223</v>
      </c>
      <c r="G295" s="132" t="s">
        <v>87</v>
      </c>
      <c r="H295" s="132" t="s">
        <v>36</v>
      </c>
      <c r="I295" s="133" t="s">
        <v>47</v>
      </c>
      <c r="J295" s="134" t="s">
        <v>54</v>
      </c>
      <c r="K295" s="182">
        <v>346.1</v>
      </c>
      <c r="L295" s="69">
        <f>M295-K295</f>
        <v>0</v>
      </c>
      <c r="M295" s="182">
        <v>346.1</v>
      </c>
      <c r="N295" s="211"/>
    </row>
    <row r="296" spans="1:14" s="183" customFormat="1" ht="18" customHeight="1" x14ac:dyDescent="0.35">
      <c r="A296" s="178"/>
      <c r="B296" s="653" t="s">
        <v>55</v>
      </c>
      <c r="C296" s="179" t="s">
        <v>434</v>
      </c>
      <c r="D296" s="180" t="s">
        <v>36</v>
      </c>
      <c r="E296" s="180" t="s">
        <v>69</v>
      </c>
      <c r="F296" s="142" t="s">
        <v>223</v>
      </c>
      <c r="G296" s="132" t="s">
        <v>87</v>
      </c>
      <c r="H296" s="132" t="s">
        <v>36</v>
      </c>
      <c r="I296" s="133" t="s">
        <v>47</v>
      </c>
      <c r="J296" s="134" t="s">
        <v>56</v>
      </c>
      <c r="K296" s="182">
        <v>1.5</v>
      </c>
      <c r="L296" s="69">
        <f>M296-K296</f>
        <v>0</v>
      </c>
      <c r="M296" s="182">
        <v>1.5</v>
      </c>
    </row>
    <row r="297" spans="1:14" s="183" customFormat="1" ht="36" customHeight="1" x14ac:dyDescent="0.35">
      <c r="A297" s="178"/>
      <c r="B297" s="642" t="s">
        <v>484</v>
      </c>
      <c r="C297" s="179" t="s">
        <v>434</v>
      </c>
      <c r="D297" s="180" t="s">
        <v>36</v>
      </c>
      <c r="E297" s="180" t="s">
        <v>69</v>
      </c>
      <c r="F297" s="142" t="s">
        <v>223</v>
      </c>
      <c r="G297" s="132" t="s">
        <v>87</v>
      </c>
      <c r="H297" s="132" t="s">
        <v>36</v>
      </c>
      <c r="I297" s="133" t="s">
        <v>89</v>
      </c>
      <c r="J297" s="134"/>
      <c r="K297" s="182">
        <f>K298+K299+K300</f>
        <v>9140.07</v>
      </c>
      <c r="L297" s="182">
        <f t="shared" ref="L297" si="98">L298+L299+L300</f>
        <v>304.96000000000004</v>
      </c>
      <c r="M297" s="182">
        <f>M298+M299+M300</f>
        <v>9445.0299999999988</v>
      </c>
      <c r="N297" s="211"/>
    </row>
    <row r="298" spans="1:14" s="183" customFormat="1" ht="108" customHeight="1" x14ac:dyDescent="0.35">
      <c r="A298" s="178"/>
      <c r="B298" s="653" t="s">
        <v>48</v>
      </c>
      <c r="C298" s="179" t="s">
        <v>434</v>
      </c>
      <c r="D298" s="180" t="s">
        <v>36</v>
      </c>
      <c r="E298" s="180" t="s">
        <v>69</v>
      </c>
      <c r="F298" s="142" t="s">
        <v>223</v>
      </c>
      <c r="G298" s="132" t="s">
        <v>87</v>
      </c>
      <c r="H298" s="132" t="s">
        <v>36</v>
      </c>
      <c r="I298" s="133" t="s">
        <v>89</v>
      </c>
      <c r="J298" s="134" t="s">
        <v>49</v>
      </c>
      <c r="K298" s="182">
        <f>9725+2926.4+7.1+24.5+57.6-4072.53-450</f>
        <v>8218.07</v>
      </c>
      <c r="L298" s="69">
        <f>M298-K298</f>
        <v>300</v>
      </c>
      <c r="M298" s="182">
        <f>9725+2926.4+7.1+24.5+57.6-4072.53-450+300</f>
        <v>8518.07</v>
      </c>
      <c r="N298" s="211"/>
    </row>
    <row r="299" spans="1:14" s="183" customFormat="1" ht="54" customHeight="1" x14ac:dyDescent="0.35">
      <c r="A299" s="178"/>
      <c r="B299" s="663" t="s">
        <v>53</v>
      </c>
      <c r="C299" s="179" t="s">
        <v>434</v>
      </c>
      <c r="D299" s="180" t="s">
        <v>36</v>
      </c>
      <c r="E299" s="180" t="s">
        <v>69</v>
      </c>
      <c r="F299" s="187" t="s">
        <v>223</v>
      </c>
      <c r="G299" s="185" t="s">
        <v>87</v>
      </c>
      <c r="H299" s="185" t="s">
        <v>36</v>
      </c>
      <c r="I299" s="186" t="s">
        <v>89</v>
      </c>
      <c r="J299" s="134" t="s">
        <v>54</v>
      </c>
      <c r="K299" s="182">
        <f>685.5+200.9+13.1</f>
        <v>899.5</v>
      </c>
      <c r="L299" s="69">
        <f>M299-K299</f>
        <v>4.9600000000000364</v>
      </c>
      <c r="M299" s="182">
        <f>685.5+200.9+13.1+4.96</f>
        <v>904.46</v>
      </c>
    </row>
    <row r="300" spans="1:14" s="183" customFormat="1" ht="18" customHeight="1" x14ac:dyDescent="0.35">
      <c r="A300" s="178"/>
      <c r="B300" s="653" t="s">
        <v>55</v>
      </c>
      <c r="C300" s="224" t="s">
        <v>434</v>
      </c>
      <c r="D300" s="339" t="s">
        <v>36</v>
      </c>
      <c r="E300" s="339" t="s">
        <v>69</v>
      </c>
      <c r="F300" s="142" t="s">
        <v>223</v>
      </c>
      <c r="G300" s="132" t="s">
        <v>87</v>
      </c>
      <c r="H300" s="132" t="s">
        <v>36</v>
      </c>
      <c r="I300" s="133" t="s">
        <v>89</v>
      </c>
      <c r="J300" s="134" t="s">
        <v>56</v>
      </c>
      <c r="K300" s="182">
        <v>22.5</v>
      </c>
      <c r="L300" s="69">
        <f>M300-K300</f>
        <v>0</v>
      </c>
      <c r="M300" s="182">
        <v>22.5</v>
      </c>
      <c r="N300" s="211"/>
    </row>
    <row r="301" spans="1:14" s="183" customFormat="1" ht="54" customHeight="1" x14ac:dyDescent="0.35">
      <c r="A301" s="178"/>
      <c r="B301" s="664" t="s">
        <v>374</v>
      </c>
      <c r="C301" s="426" t="s">
        <v>434</v>
      </c>
      <c r="D301" s="427" t="s">
        <v>36</v>
      </c>
      <c r="E301" s="427" t="s">
        <v>69</v>
      </c>
      <c r="F301" s="188" t="s">
        <v>223</v>
      </c>
      <c r="G301" s="132" t="s">
        <v>87</v>
      </c>
      <c r="H301" s="132" t="s">
        <v>36</v>
      </c>
      <c r="I301" s="133" t="s">
        <v>373</v>
      </c>
      <c r="J301" s="134"/>
      <c r="K301" s="182">
        <f>K302</f>
        <v>401.3</v>
      </c>
      <c r="L301" s="182">
        <f t="shared" ref="L301" si="99">L302</f>
        <v>0</v>
      </c>
      <c r="M301" s="182">
        <f>M302</f>
        <v>401.3</v>
      </c>
      <c r="N301" s="211"/>
    </row>
    <row r="302" spans="1:14" s="183" customFormat="1" ht="54" customHeight="1" x14ac:dyDescent="0.35">
      <c r="A302" s="178"/>
      <c r="B302" s="664" t="s">
        <v>53</v>
      </c>
      <c r="C302" s="426" t="s">
        <v>434</v>
      </c>
      <c r="D302" s="427" t="s">
        <v>36</v>
      </c>
      <c r="E302" s="427" t="s">
        <v>69</v>
      </c>
      <c r="F302" s="188" t="s">
        <v>223</v>
      </c>
      <c r="G302" s="132" t="s">
        <v>87</v>
      </c>
      <c r="H302" s="132" t="s">
        <v>36</v>
      </c>
      <c r="I302" s="338" t="s">
        <v>373</v>
      </c>
      <c r="J302" s="134" t="s">
        <v>54</v>
      </c>
      <c r="K302" s="182">
        <v>401.3</v>
      </c>
      <c r="L302" s="69">
        <f>M302-K302</f>
        <v>0</v>
      </c>
      <c r="M302" s="182">
        <v>401.3</v>
      </c>
      <c r="N302" s="211"/>
    </row>
    <row r="303" spans="1:14" s="218" customFormat="1" ht="36" customHeight="1" x14ac:dyDescent="0.35">
      <c r="A303" s="213"/>
      <c r="B303" s="665" t="s">
        <v>371</v>
      </c>
      <c r="C303" s="214" t="s">
        <v>434</v>
      </c>
      <c r="D303" s="215" t="s">
        <v>36</v>
      </c>
      <c r="E303" s="215" t="s">
        <v>69</v>
      </c>
      <c r="F303" s="142" t="s">
        <v>223</v>
      </c>
      <c r="G303" s="143" t="s">
        <v>87</v>
      </c>
      <c r="H303" s="143" t="s">
        <v>38</v>
      </c>
      <c r="I303" s="144" t="s">
        <v>43</v>
      </c>
      <c r="J303" s="145"/>
      <c r="K303" s="216">
        <f t="shared" ref="K303:M304" si="100">K304</f>
        <v>894.1</v>
      </c>
      <c r="L303" s="216">
        <f t="shared" si="100"/>
        <v>54.299999999999955</v>
      </c>
      <c r="M303" s="216">
        <f t="shared" si="100"/>
        <v>948.4</v>
      </c>
      <c r="N303" s="217"/>
    </row>
    <row r="304" spans="1:14" s="218" customFormat="1" ht="54" customHeight="1" x14ac:dyDescent="0.35">
      <c r="A304" s="219"/>
      <c r="B304" s="666" t="s">
        <v>372</v>
      </c>
      <c r="C304" s="179" t="s">
        <v>434</v>
      </c>
      <c r="D304" s="180" t="s">
        <v>36</v>
      </c>
      <c r="E304" s="180" t="s">
        <v>69</v>
      </c>
      <c r="F304" s="188" t="s">
        <v>223</v>
      </c>
      <c r="G304" s="143" t="s">
        <v>87</v>
      </c>
      <c r="H304" s="143" t="s">
        <v>38</v>
      </c>
      <c r="I304" s="144" t="s">
        <v>103</v>
      </c>
      <c r="J304" s="146"/>
      <c r="K304" s="220">
        <f t="shared" si="100"/>
        <v>894.1</v>
      </c>
      <c r="L304" s="220">
        <f t="shared" si="100"/>
        <v>54.299999999999955</v>
      </c>
      <c r="M304" s="220">
        <f t="shared" si="100"/>
        <v>948.4</v>
      </c>
      <c r="N304" s="217"/>
    </row>
    <row r="305" spans="1:14" s="218" customFormat="1" ht="54" customHeight="1" x14ac:dyDescent="0.35">
      <c r="A305" s="219"/>
      <c r="B305" s="667" t="s">
        <v>53</v>
      </c>
      <c r="C305" s="179" t="s">
        <v>434</v>
      </c>
      <c r="D305" s="180" t="s">
        <v>36</v>
      </c>
      <c r="E305" s="180" t="s">
        <v>69</v>
      </c>
      <c r="F305" s="188" t="s">
        <v>223</v>
      </c>
      <c r="G305" s="148" t="s">
        <v>87</v>
      </c>
      <c r="H305" s="148" t="s">
        <v>38</v>
      </c>
      <c r="I305" s="221" t="s">
        <v>103</v>
      </c>
      <c r="J305" s="222" t="s">
        <v>54</v>
      </c>
      <c r="K305" s="314">
        <f>852.1+42</f>
        <v>894.1</v>
      </c>
      <c r="L305" s="69">
        <f>M305-K305</f>
        <v>54.299999999999955</v>
      </c>
      <c r="M305" s="314">
        <f>852.1+42+54.3</f>
        <v>948.4</v>
      </c>
      <c r="N305" s="217"/>
    </row>
    <row r="306" spans="1:14" s="218" customFormat="1" ht="36" customHeight="1" x14ac:dyDescent="0.35">
      <c r="A306" s="219"/>
      <c r="B306" s="668" t="s">
        <v>395</v>
      </c>
      <c r="C306" s="179" t="s">
        <v>434</v>
      </c>
      <c r="D306" s="180" t="s">
        <v>36</v>
      </c>
      <c r="E306" s="180" t="s">
        <v>69</v>
      </c>
      <c r="F306" s="188" t="s">
        <v>223</v>
      </c>
      <c r="G306" s="143" t="s">
        <v>87</v>
      </c>
      <c r="H306" s="143" t="s">
        <v>61</v>
      </c>
      <c r="I306" s="144" t="s">
        <v>43</v>
      </c>
      <c r="J306" s="146"/>
      <c r="K306" s="220">
        <f t="shared" ref="K306:M307" si="101">K307</f>
        <v>10.6</v>
      </c>
      <c r="L306" s="220">
        <f t="shared" si="101"/>
        <v>0</v>
      </c>
      <c r="M306" s="220">
        <f t="shared" si="101"/>
        <v>10.6</v>
      </c>
      <c r="N306" s="217"/>
    </row>
    <row r="307" spans="1:14" s="218" customFormat="1" ht="36" customHeight="1" x14ac:dyDescent="0.35">
      <c r="A307" s="219"/>
      <c r="B307" s="668" t="s">
        <v>357</v>
      </c>
      <c r="C307" s="179" t="s">
        <v>434</v>
      </c>
      <c r="D307" s="180" t="s">
        <v>36</v>
      </c>
      <c r="E307" s="180" t="s">
        <v>69</v>
      </c>
      <c r="F307" s="147" t="s">
        <v>223</v>
      </c>
      <c r="G307" s="148" t="s">
        <v>87</v>
      </c>
      <c r="H307" s="148" t="s">
        <v>61</v>
      </c>
      <c r="I307" s="221" t="s">
        <v>356</v>
      </c>
      <c r="J307" s="146"/>
      <c r="K307" s="220">
        <f t="shared" si="101"/>
        <v>10.6</v>
      </c>
      <c r="L307" s="220">
        <f t="shared" si="101"/>
        <v>0</v>
      </c>
      <c r="M307" s="220">
        <f t="shared" si="101"/>
        <v>10.6</v>
      </c>
      <c r="N307" s="217"/>
    </row>
    <row r="308" spans="1:14" s="218" customFormat="1" ht="18" customHeight="1" x14ac:dyDescent="0.35">
      <c r="A308" s="223"/>
      <c r="B308" s="653" t="s">
        <v>55</v>
      </c>
      <c r="C308" s="224" t="s">
        <v>434</v>
      </c>
      <c r="D308" s="180" t="s">
        <v>36</v>
      </c>
      <c r="E308" s="180" t="s">
        <v>69</v>
      </c>
      <c r="F308" s="142" t="s">
        <v>223</v>
      </c>
      <c r="G308" s="143" t="s">
        <v>87</v>
      </c>
      <c r="H308" s="143" t="s">
        <v>61</v>
      </c>
      <c r="I308" s="144" t="s">
        <v>356</v>
      </c>
      <c r="J308" s="146" t="s">
        <v>56</v>
      </c>
      <c r="K308" s="314">
        <v>10.6</v>
      </c>
      <c r="L308" s="69">
        <f>M308-K308</f>
        <v>0</v>
      </c>
      <c r="M308" s="314">
        <v>10.6</v>
      </c>
      <c r="N308" s="217"/>
    </row>
    <row r="309" spans="1:14" s="218" customFormat="1" ht="36" customHeight="1" x14ac:dyDescent="0.35">
      <c r="A309" s="223"/>
      <c r="B309" s="669" t="s">
        <v>359</v>
      </c>
      <c r="C309" s="224" t="s">
        <v>434</v>
      </c>
      <c r="D309" s="180" t="s">
        <v>36</v>
      </c>
      <c r="E309" s="180" t="s">
        <v>69</v>
      </c>
      <c r="F309" s="142" t="s">
        <v>223</v>
      </c>
      <c r="G309" s="143" t="s">
        <v>29</v>
      </c>
      <c r="H309" s="143" t="s">
        <v>42</v>
      </c>
      <c r="I309" s="144" t="s">
        <v>43</v>
      </c>
      <c r="J309" s="146"/>
      <c r="K309" s="529">
        <f>K310</f>
        <v>4445.7069999999994</v>
      </c>
      <c r="L309" s="529">
        <f t="shared" ref="K309:M310" si="102">L310</f>
        <v>265.49999999999983</v>
      </c>
      <c r="M309" s="529">
        <f>M310</f>
        <v>4711.2069999999994</v>
      </c>
      <c r="N309" s="217"/>
    </row>
    <row r="310" spans="1:14" s="218" customFormat="1" ht="36" customHeight="1" x14ac:dyDescent="0.35">
      <c r="A310" s="563"/>
      <c r="B310" s="670" t="s">
        <v>395</v>
      </c>
      <c r="C310" s="555" t="s">
        <v>434</v>
      </c>
      <c r="D310" s="564" t="s">
        <v>36</v>
      </c>
      <c r="E310" s="564" t="s">
        <v>69</v>
      </c>
      <c r="F310" s="565" t="s">
        <v>223</v>
      </c>
      <c r="G310" s="566" t="s">
        <v>29</v>
      </c>
      <c r="H310" s="566" t="s">
        <v>223</v>
      </c>
      <c r="I310" s="567" t="s">
        <v>43</v>
      </c>
      <c r="J310" s="568"/>
      <c r="K310" s="529">
        <f t="shared" si="102"/>
        <v>4445.7069999999994</v>
      </c>
      <c r="L310" s="529">
        <f t="shared" si="102"/>
        <v>265.49999999999983</v>
      </c>
      <c r="M310" s="529">
        <f t="shared" si="102"/>
        <v>4711.2069999999994</v>
      </c>
      <c r="N310" s="217"/>
    </row>
    <row r="311" spans="1:14" s="218" customFormat="1" ht="36" customHeight="1" x14ac:dyDescent="0.35">
      <c r="A311" s="720"/>
      <c r="B311" s="661" t="s">
        <v>357</v>
      </c>
      <c r="C311" s="426" t="s">
        <v>434</v>
      </c>
      <c r="D311" s="753" t="s">
        <v>36</v>
      </c>
      <c r="E311" s="557" t="s">
        <v>69</v>
      </c>
      <c r="F311" s="558" t="s">
        <v>223</v>
      </c>
      <c r="G311" s="559" t="s">
        <v>29</v>
      </c>
      <c r="H311" s="559" t="s">
        <v>223</v>
      </c>
      <c r="I311" s="560" t="s">
        <v>356</v>
      </c>
      <c r="J311" s="561"/>
      <c r="K311" s="562">
        <f>K312+K313</f>
        <v>4445.7069999999994</v>
      </c>
      <c r="L311" s="562">
        <f>L312+L313</f>
        <v>265.49999999999983</v>
      </c>
      <c r="M311" s="562">
        <f>M312+M313</f>
        <v>4711.2069999999994</v>
      </c>
      <c r="N311" s="217"/>
    </row>
    <row r="312" spans="1:14" s="218" customFormat="1" ht="36" customHeight="1" x14ac:dyDescent="0.35">
      <c r="A312" s="720"/>
      <c r="B312" s="667" t="s">
        <v>53</v>
      </c>
      <c r="C312" s="426" t="s">
        <v>434</v>
      </c>
      <c r="D312" s="753" t="s">
        <v>36</v>
      </c>
      <c r="E312" s="557" t="s">
        <v>69</v>
      </c>
      <c r="F312" s="558" t="s">
        <v>223</v>
      </c>
      <c r="G312" s="559" t="s">
        <v>29</v>
      </c>
      <c r="H312" s="559" t="s">
        <v>223</v>
      </c>
      <c r="I312" s="560" t="s">
        <v>356</v>
      </c>
      <c r="J312" s="561" t="s">
        <v>54</v>
      </c>
      <c r="K312" s="562">
        <f>388.5+414.3+337.7+300+2324.307+200+400</f>
        <v>4364.8069999999998</v>
      </c>
      <c r="L312" s="69">
        <f>M312-K312</f>
        <v>222.69999999999982</v>
      </c>
      <c r="M312" s="562">
        <f>388.5+414.3+337.7+300+2324.307+200+400-10+96+136.7</f>
        <v>4587.5069999999996</v>
      </c>
      <c r="N312" s="217"/>
    </row>
    <row r="313" spans="1:14" s="218" customFormat="1" ht="18" customHeight="1" x14ac:dyDescent="0.35">
      <c r="A313" s="697"/>
      <c r="B313" s="661" t="s">
        <v>55</v>
      </c>
      <c r="C313" s="426" t="s">
        <v>434</v>
      </c>
      <c r="D313" s="721" t="s">
        <v>36</v>
      </c>
      <c r="E313" s="180" t="s">
        <v>69</v>
      </c>
      <c r="F313" s="142" t="s">
        <v>223</v>
      </c>
      <c r="G313" s="143" t="s">
        <v>29</v>
      </c>
      <c r="H313" s="143" t="s">
        <v>223</v>
      </c>
      <c r="I313" s="144" t="s">
        <v>356</v>
      </c>
      <c r="J313" s="540" t="s">
        <v>56</v>
      </c>
      <c r="K313" s="529">
        <v>80.900000000000006</v>
      </c>
      <c r="L313" s="69">
        <f>M313-K313</f>
        <v>42.8</v>
      </c>
      <c r="M313" s="529">
        <f>80.9+42.8</f>
        <v>123.7</v>
      </c>
      <c r="N313" s="217"/>
    </row>
    <row r="314" spans="1:14" s="218" customFormat="1" ht="54" customHeight="1" x14ac:dyDescent="0.35">
      <c r="A314" s="556"/>
      <c r="B314" s="722" t="s">
        <v>227</v>
      </c>
      <c r="C314" s="723" t="s">
        <v>434</v>
      </c>
      <c r="D314" s="180" t="s">
        <v>36</v>
      </c>
      <c r="E314" s="180" t="s">
        <v>69</v>
      </c>
      <c r="F314" s="149" t="s">
        <v>77</v>
      </c>
      <c r="G314" s="150" t="s">
        <v>41</v>
      </c>
      <c r="H314" s="150" t="s">
        <v>42</v>
      </c>
      <c r="I314" s="151" t="s">
        <v>43</v>
      </c>
      <c r="J314" s="152"/>
      <c r="K314" s="529">
        <f t="shared" ref="K314:M317" si="103">K315</f>
        <v>59.82526</v>
      </c>
      <c r="L314" s="529">
        <f t="shared" si="103"/>
        <v>13.596639999999994</v>
      </c>
      <c r="M314" s="529">
        <f t="shared" si="103"/>
        <v>73.421899999999994</v>
      </c>
      <c r="N314" s="217"/>
    </row>
    <row r="315" spans="1:14" s="218" customFormat="1" ht="36" customHeight="1" x14ac:dyDescent="0.35">
      <c r="A315" s="223"/>
      <c r="B315" s="663" t="s">
        <v>359</v>
      </c>
      <c r="C315" s="190" t="s">
        <v>434</v>
      </c>
      <c r="D315" s="180" t="s">
        <v>36</v>
      </c>
      <c r="E315" s="180" t="s">
        <v>69</v>
      </c>
      <c r="F315" s="149" t="s">
        <v>77</v>
      </c>
      <c r="G315" s="150" t="s">
        <v>44</v>
      </c>
      <c r="H315" s="150" t="s">
        <v>42</v>
      </c>
      <c r="I315" s="151" t="s">
        <v>43</v>
      </c>
      <c r="J315" s="152"/>
      <c r="K315" s="529">
        <f t="shared" si="103"/>
        <v>59.82526</v>
      </c>
      <c r="L315" s="529">
        <f t="shared" si="103"/>
        <v>13.596639999999994</v>
      </c>
      <c r="M315" s="529">
        <f t="shared" si="103"/>
        <v>73.421899999999994</v>
      </c>
      <c r="N315" s="217"/>
    </row>
    <row r="316" spans="1:14" s="218" customFormat="1" ht="90" customHeight="1" x14ac:dyDescent="0.35">
      <c r="A316" s="223"/>
      <c r="B316" s="663" t="s">
        <v>314</v>
      </c>
      <c r="C316" s="190" t="s">
        <v>434</v>
      </c>
      <c r="D316" s="180" t="s">
        <v>36</v>
      </c>
      <c r="E316" s="180" t="s">
        <v>69</v>
      </c>
      <c r="F316" s="149" t="s">
        <v>77</v>
      </c>
      <c r="G316" s="150" t="s">
        <v>44</v>
      </c>
      <c r="H316" s="150" t="s">
        <v>38</v>
      </c>
      <c r="I316" s="151" t="s">
        <v>43</v>
      </c>
      <c r="J316" s="152"/>
      <c r="K316" s="529">
        <f t="shared" si="103"/>
        <v>59.82526</v>
      </c>
      <c r="L316" s="529">
        <f t="shared" si="103"/>
        <v>13.596639999999994</v>
      </c>
      <c r="M316" s="529">
        <f t="shared" si="103"/>
        <v>73.421899999999994</v>
      </c>
      <c r="N316" s="217"/>
    </row>
    <row r="317" spans="1:14" s="218" customFormat="1" ht="108" customHeight="1" x14ac:dyDescent="0.35">
      <c r="A317" s="223"/>
      <c r="B317" s="653" t="s">
        <v>756</v>
      </c>
      <c r="C317" s="179" t="s">
        <v>434</v>
      </c>
      <c r="D317" s="180" t="s">
        <v>36</v>
      </c>
      <c r="E317" s="180" t="s">
        <v>69</v>
      </c>
      <c r="F317" s="131" t="s">
        <v>77</v>
      </c>
      <c r="G317" s="132" t="s">
        <v>44</v>
      </c>
      <c r="H317" s="132" t="s">
        <v>38</v>
      </c>
      <c r="I317" s="153" t="s">
        <v>665</v>
      </c>
      <c r="J317" s="134"/>
      <c r="K317" s="529">
        <f t="shared" si="103"/>
        <v>59.82526</v>
      </c>
      <c r="L317" s="529">
        <f t="shared" si="103"/>
        <v>13.596639999999994</v>
      </c>
      <c r="M317" s="529">
        <f t="shared" si="103"/>
        <v>73.421899999999994</v>
      </c>
      <c r="N317" s="217"/>
    </row>
    <row r="318" spans="1:14" s="218" customFormat="1" ht="54" customHeight="1" x14ac:dyDescent="0.35">
      <c r="A318" s="223"/>
      <c r="B318" s="663" t="s">
        <v>53</v>
      </c>
      <c r="C318" s="179" t="s">
        <v>434</v>
      </c>
      <c r="D318" s="180" t="s">
        <v>36</v>
      </c>
      <c r="E318" s="180" t="s">
        <v>69</v>
      </c>
      <c r="F318" s="131" t="s">
        <v>77</v>
      </c>
      <c r="G318" s="132" t="s">
        <v>44</v>
      </c>
      <c r="H318" s="132" t="s">
        <v>38</v>
      </c>
      <c r="I318" s="153" t="s">
        <v>665</v>
      </c>
      <c r="J318" s="540" t="s">
        <v>54</v>
      </c>
      <c r="K318" s="529">
        <v>59.82526</v>
      </c>
      <c r="L318" s="69">
        <f>M318-K318</f>
        <v>13.596639999999994</v>
      </c>
      <c r="M318" s="529">
        <f>59.82526+13.59664</f>
        <v>73.421899999999994</v>
      </c>
      <c r="N318" s="217"/>
    </row>
    <row r="319" spans="1:14" s="183" customFormat="1" ht="54" customHeight="1" x14ac:dyDescent="0.35">
      <c r="A319" s="178"/>
      <c r="B319" s="669" t="s">
        <v>39</v>
      </c>
      <c r="C319" s="179" t="s">
        <v>434</v>
      </c>
      <c r="D319" s="180" t="s">
        <v>36</v>
      </c>
      <c r="E319" s="180" t="s">
        <v>69</v>
      </c>
      <c r="F319" s="188" t="s">
        <v>40</v>
      </c>
      <c r="G319" s="132" t="s">
        <v>41</v>
      </c>
      <c r="H319" s="132" t="s">
        <v>42</v>
      </c>
      <c r="I319" s="133" t="s">
        <v>43</v>
      </c>
      <c r="J319" s="134"/>
      <c r="K319" s="321">
        <f t="shared" ref="K319:M321" si="104">K320</f>
        <v>5476.8170699999991</v>
      </c>
      <c r="L319" s="321">
        <f t="shared" si="104"/>
        <v>1472</v>
      </c>
      <c r="M319" s="321">
        <f t="shared" si="104"/>
        <v>6948.8170699999991</v>
      </c>
      <c r="N319" s="211"/>
    </row>
    <row r="320" spans="1:14" s="183" customFormat="1" ht="36" customHeight="1" x14ac:dyDescent="0.35">
      <c r="A320" s="178"/>
      <c r="B320" s="663" t="s">
        <v>359</v>
      </c>
      <c r="C320" s="179" t="s">
        <v>434</v>
      </c>
      <c r="D320" s="180" t="s">
        <v>36</v>
      </c>
      <c r="E320" s="180" t="s">
        <v>69</v>
      </c>
      <c r="F320" s="142" t="s">
        <v>40</v>
      </c>
      <c r="G320" s="132" t="s">
        <v>44</v>
      </c>
      <c r="H320" s="132" t="s">
        <v>42</v>
      </c>
      <c r="I320" s="133" t="s">
        <v>43</v>
      </c>
      <c r="J320" s="134"/>
      <c r="K320" s="182">
        <f t="shared" si="104"/>
        <v>5476.8170699999991</v>
      </c>
      <c r="L320" s="182">
        <f t="shared" si="104"/>
        <v>1472</v>
      </c>
      <c r="M320" s="182">
        <f t="shared" si="104"/>
        <v>6948.8170699999991</v>
      </c>
      <c r="N320" s="211"/>
    </row>
    <row r="321" spans="1:14" s="183" customFormat="1" ht="72" customHeight="1" x14ac:dyDescent="0.35">
      <c r="A321" s="178"/>
      <c r="B321" s="653" t="s">
        <v>313</v>
      </c>
      <c r="C321" s="179" t="s">
        <v>434</v>
      </c>
      <c r="D321" s="180" t="s">
        <v>36</v>
      </c>
      <c r="E321" s="180" t="s">
        <v>69</v>
      </c>
      <c r="F321" s="142" t="s">
        <v>40</v>
      </c>
      <c r="G321" s="132" t="s">
        <v>44</v>
      </c>
      <c r="H321" s="132" t="s">
        <v>79</v>
      </c>
      <c r="I321" s="133" t="s">
        <v>43</v>
      </c>
      <c r="J321" s="134"/>
      <c r="K321" s="182">
        <f t="shared" si="104"/>
        <v>5476.8170699999991</v>
      </c>
      <c r="L321" s="182">
        <f t="shared" si="104"/>
        <v>1472</v>
      </c>
      <c r="M321" s="182">
        <f t="shared" si="104"/>
        <v>6948.8170699999991</v>
      </c>
      <c r="N321" s="211"/>
    </row>
    <row r="322" spans="1:14" s="183" customFormat="1" ht="36" customHeight="1" x14ac:dyDescent="0.35">
      <c r="A322" s="178"/>
      <c r="B322" s="642" t="s">
        <v>484</v>
      </c>
      <c r="C322" s="179" t="s">
        <v>434</v>
      </c>
      <c r="D322" s="180" t="s">
        <v>36</v>
      </c>
      <c r="E322" s="180" t="s">
        <v>69</v>
      </c>
      <c r="F322" s="142" t="s">
        <v>40</v>
      </c>
      <c r="G322" s="132" t="s">
        <v>44</v>
      </c>
      <c r="H322" s="132" t="s">
        <v>79</v>
      </c>
      <c r="I322" s="133" t="s">
        <v>89</v>
      </c>
      <c r="J322" s="134"/>
      <c r="K322" s="341">
        <f>K323+K324</f>
        <v>5476.8170699999991</v>
      </c>
      <c r="L322" s="341">
        <f t="shared" ref="L322" si="105">L323+L324</f>
        <v>1472</v>
      </c>
      <c r="M322" s="341">
        <f>M323+M324</f>
        <v>6948.8170699999991</v>
      </c>
      <c r="N322" s="211"/>
    </row>
    <row r="323" spans="1:14" s="183" customFormat="1" ht="108" customHeight="1" x14ac:dyDescent="0.35">
      <c r="A323" s="178"/>
      <c r="B323" s="653" t="s">
        <v>48</v>
      </c>
      <c r="C323" s="179" t="s">
        <v>434</v>
      </c>
      <c r="D323" s="180" t="s">
        <v>36</v>
      </c>
      <c r="E323" s="180" t="s">
        <v>69</v>
      </c>
      <c r="F323" s="142" t="s">
        <v>40</v>
      </c>
      <c r="G323" s="132" t="s">
        <v>44</v>
      </c>
      <c r="H323" s="132" t="s">
        <v>79</v>
      </c>
      <c r="I323" s="133" t="s">
        <v>89</v>
      </c>
      <c r="J323" s="134" t="s">
        <v>49</v>
      </c>
      <c r="K323" s="315">
        <f>5957.9+14.2-1000</f>
        <v>4972.0999999999995</v>
      </c>
      <c r="L323" s="69">
        <f>M323-K323</f>
        <v>1472</v>
      </c>
      <c r="M323" s="315">
        <f>5957.9+14.2-1000+472+1000</f>
        <v>6444.0999999999995</v>
      </c>
      <c r="N323" s="211"/>
    </row>
    <row r="324" spans="1:14" s="183" customFormat="1" ht="54" customHeight="1" x14ac:dyDescent="0.35">
      <c r="A324" s="178"/>
      <c r="B324" s="663" t="s">
        <v>53</v>
      </c>
      <c r="C324" s="179" t="s">
        <v>434</v>
      </c>
      <c r="D324" s="180" t="s">
        <v>36</v>
      </c>
      <c r="E324" s="180" t="s">
        <v>69</v>
      </c>
      <c r="F324" s="142" t="s">
        <v>40</v>
      </c>
      <c r="G324" s="132" t="s">
        <v>44</v>
      </c>
      <c r="H324" s="132" t="s">
        <v>79</v>
      </c>
      <c r="I324" s="133" t="s">
        <v>89</v>
      </c>
      <c r="J324" s="134" t="s">
        <v>54</v>
      </c>
      <c r="K324" s="315">
        <f>502.7+2.01707</f>
        <v>504.71706999999998</v>
      </c>
      <c r="L324" s="69">
        <f>M324-K324</f>
        <v>0</v>
      </c>
      <c r="M324" s="315">
        <f>502.7+2.01707</f>
        <v>504.71706999999998</v>
      </c>
      <c r="N324" s="211"/>
    </row>
    <row r="325" spans="1:14" s="183" customFormat="1" ht="18" customHeight="1" x14ac:dyDescent="0.35">
      <c r="A325" s="178"/>
      <c r="B325" s="663" t="s">
        <v>90</v>
      </c>
      <c r="C325" s="179" t="s">
        <v>434</v>
      </c>
      <c r="D325" s="180" t="s">
        <v>50</v>
      </c>
      <c r="E325" s="180"/>
      <c r="F325" s="142"/>
      <c r="G325" s="132"/>
      <c r="H325" s="132"/>
      <c r="I325" s="133"/>
      <c r="J325" s="134"/>
      <c r="K325" s="321">
        <f t="shared" ref="K325:M330" si="106">K326</f>
        <v>803</v>
      </c>
      <c r="L325" s="321">
        <f t="shared" si="106"/>
        <v>0</v>
      </c>
      <c r="M325" s="321">
        <f t="shared" si="106"/>
        <v>803</v>
      </c>
      <c r="N325" s="211"/>
    </row>
    <row r="326" spans="1:14" s="183" customFormat="1" ht="36" customHeight="1" x14ac:dyDescent="0.35">
      <c r="A326" s="178"/>
      <c r="B326" s="672" t="s">
        <v>104</v>
      </c>
      <c r="C326" s="179" t="s">
        <v>434</v>
      </c>
      <c r="D326" s="180" t="s">
        <v>50</v>
      </c>
      <c r="E326" s="180" t="s">
        <v>98</v>
      </c>
      <c r="F326" s="142"/>
      <c r="G326" s="132"/>
      <c r="H326" s="132"/>
      <c r="I326" s="133"/>
      <c r="J326" s="134"/>
      <c r="K326" s="182">
        <f t="shared" si="106"/>
        <v>803</v>
      </c>
      <c r="L326" s="182">
        <f t="shared" si="106"/>
        <v>0</v>
      </c>
      <c r="M326" s="182">
        <f t="shared" si="106"/>
        <v>803</v>
      </c>
      <c r="N326" s="211"/>
    </row>
    <row r="327" spans="1:14" s="183" customFormat="1" ht="54" customHeight="1" x14ac:dyDescent="0.35">
      <c r="A327" s="178"/>
      <c r="B327" s="653" t="s">
        <v>222</v>
      </c>
      <c r="C327" s="179" t="s">
        <v>434</v>
      </c>
      <c r="D327" s="180" t="s">
        <v>50</v>
      </c>
      <c r="E327" s="180" t="s">
        <v>98</v>
      </c>
      <c r="F327" s="142" t="s">
        <v>223</v>
      </c>
      <c r="G327" s="132" t="s">
        <v>41</v>
      </c>
      <c r="H327" s="132" t="s">
        <v>42</v>
      </c>
      <c r="I327" s="133" t="s">
        <v>43</v>
      </c>
      <c r="J327" s="134"/>
      <c r="K327" s="182">
        <f>K328+K332</f>
        <v>803</v>
      </c>
      <c r="L327" s="182">
        <f>L328+L332</f>
        <v>0</v>
      </c>
      <c r="M327" s="182">
        <f>M328+M332</f>
        <v>803</v>
      </c>
      <c r="N327" s="211"/>
    </row>
    <row r="328" spans="1:14" s="183" customFormat="1" ht="36" customHeight="1" x14ac:dyDescent="0.35">
      <c r="A328" s="178"/>
      <c r="B328" s="653" t="s">
        <v>224</v>
      </c>
      <c r="C328" s="179" t="s">
        <v>434</v>
      </c>
      <c r="D328" s="180" t="s">
        <v>50</v>
      </c>
      <c r="E328" s="180" t="s">
        <v>98</v>
      </c>
      <c r="F328" s="142" t="s">
        <v>223</v>
      </c>
      <c r="G328" s="132" t="s">
        <v>44</v>
      </c>
      <c r="H328" s="132" t="s">
        <v>42</v>
      </c>
      <c r="I328" s="133" t="s">
        <v>43</v>
      </c>
      <c r="J328" s="134"/>
      <c r="K328" s="182">
        <f t="shared" si="106"/>
        <v>791.8</v>
      </c>
      <c r="L328" s="182">
        <f t="shared" si="106"/>
        <v>0</v>
      </c>
      <c r="M328" s="182">
        <f t="shared" si="106"/>
        <v>791.8</v>
      </c>
      <c r="N328" s="211"/>
    </row>
    <row r="329" spans="1:14" s="183" customFormat="1" ht="90" customHeight="1" x14ac:dyDescent="0.35">
      <c r="A329" s="178"/>
      <c r="B329" s="653" t="s">
        <v>311</v>
      </c>
      <c r="C329" s="179" t="s">
        <v>434</v>
      </c>
      <c r="D329" s="180" t="s">
        <v>50</v>
      </c>
      <c r="E329" s="180" t="s">
        <v>98</v>
      </c>
      <c r="F329" s="142" t="s">
        <v>223</v>
      </c>
      <c r="G329" s="132" t="s">
        <v>44</v>
      </c>
      <c r="H329" s="132" t="s">
        <v>36</v>
      </c>
      <c r="I329" s="133" t="s">
        <v>43</v>
      </c>
      <c r="J329" s="134"/>
      <c r="K329" s="182">
        <f t="shared" si="106"/>
        <v>791.8</v>
      </c>
      <c r="L329" s="182">
        <f t="shared" si="106"/>
        <v>0</v>
      </c>
      <c r="M329" s="182">
        <f t="shared" si="106"/>
        <v>791.8</v>
      </c>
      <c r="N329" s="211"/>
    </row>
    <row r="330" spans="1:14" s="183" customFormat="1" ht="36" customHeight="1" x14ac:dyDescent="0.35">
      <c r="A330" s="178"/>
      <c r="B330" s="616" t="s">
        <v>393</v>
      </c>
      <c r="C330" s="179" t="s">
        <v>434</v>
      </c>
      <c r="D330" s="180" t="s">
        <v>50</v>
      </c>
      <c r="E330" s="180" t="s">
        <v>98</v>
      </c>
      <c r="F330" s="142" t="s">
        <v>223</v>
      </c>
      <c r="G330" s="132" t="s">
        <v>44</v>
      </c>
      <c r="H330" s="132" t="s">
        <v>36</v>
      </c>
      <c r="I330" s="133" t="s">
        <v>392</v>
      </c>
      <c r="J330" s="586"/>
      <c r="K330" s="182">
        <f t="shared" si="106"/>
        <v>791.8</v>
      </c>
      <c r="L330" s="182">
        <f t="shared" si="106"/>
        <v>0</v>
      </c>
      <c r="M330" s="182">
        <f t="shared" si="106"/>
        <v>791.8</v>
      </c>
      <c r="N330" s="211"/>
    </row>
    <row r="331" spans="1:14" s="183" customFormat="1" ht="54" customHeight="1" x14ac:dyDescent="0.35">
      <c r="A331" s="726"/>
      <c r="B331" s="719" t="s">
        <v>53</v>
      </c>
      <c r="C331" s="736" t="s">
        <v>434</v>
      </c>
      <c r="D331" s="180" t="s">
        <v>50</v>
      </c>
      <c r="E331" s="180" t="s">
        <v>98</v>
      </c>
      <c r="F331" s="142" t="s">
        <v>223</v>
      </c>
      <c r="G331" s="132" t="s">
        <v>44</v>
      </c>
      <c r="H331" s="132" t="s">
        <v>36</v>
      </c>
      <c r="I331" s="132" t="s">
        <v>392</v>
      </c>
      <c r="J331" s="731" t="s">
        <v>54</v>
      </c>
      <c r="K331" s="336">
        <f>1191.8-400</f>
        <v>791.8</v>
      </c>
      <c r="L331" s="69">
        <f>M331-K331</f>
        <v>0</v>
      </c>
      <c r="M331" s="336">
        <f>1191.8-400</f>
        <v>791.8</v>
      </c>
      <c r="N331" s="211"/>
    </row>
    <row r="332" spans="1:14" s="183" customFormat="1" ht="36" x14ac:dyDescent="0.35">
      <c r="A332" s="726"/>
      <c r="B332" s="661" t="s">
        <v>359</v>
      </c>
      <c r="C332" s="769" t="s">
        <v>434</v>
      </c>
      <c r="D332" s="180" t="s">
        <v>50</v>
      </c>
      <c r="E332" s="180" t="s">
        <v>98</v>
      </c>
      <c r="F332" s="142" t="s">
        <v>223</v>
      </c>
      <c r="G332" s="143" t="s">
        <v>29</v>
      </c>
      <c r="H332" s="143" t="s">
        <v>42</v>
      </c>
      <c r="I332" s="144" t="s">
        <v>43</v>
      </c>
      <c r="J332" s="770"/>
      <c r="K332" s="336">
        <f t="shared" ref="K332:M334" si="107">K333</f>
        <v>11.2</v>
      </c>
      <c r="L332" s="69">
        <f t="shared" si="107"/>
        <v>0</v>
      </c>
      <c r="M332" s="336">
        <f t="shared" si="107"/>
        <v>11.2</v>
      </c>
      <c r="N332" s="211"/>
    </row>
    <row r="333" spans="1:14" s="183" customFormat="1" ht="36" x14ac:dyDescent="0.35">
      <c r="A333" s="726"/>
      <c r="B333" s="661" t="s">
        <v>395</v>
      </c>
      <c r="C333" s="771" t="s">
        <v>434</v>
      </c>
      <c r="D333" s="180" t="s">
        <v>50</v>
      </c>
      <c r="E333" s="180" t="s">
        <v>98</v>
      </c>
      <c r="F333" s="565" t="s">
        <v>223</v>
      </c>
      <c r="G333" s="566" t="s">
        <v>29</v>
      </c>
      <c r="H333" s="566" t="s">
        <v>223</v>
      </c>
      <c r="I333" s="567" t="s">
        <v>43</v>
      </c>
      <c r="J333" s="770"/>
      <c r="K333" s="336">
        <f t="shared" si="107"/>
        <v>11.2</v>
      </c>
      <c r="L333" s="69">
        <f t="shared" si="107"/>
        <v>0</v>
      </c>
      <c r="M333" s="336">
        <f t="shared" si="107"/>
        <v>11.2</v>
      </c>
      <c r="N333" s="211"/>
    </row>
    <row r="334" spans="1:14" s="183" customFormat="1" ht="36" x14ac:dyDescent="0.35">
      <c r="A334" s="178"/>
      <c r="B334" s="772" t="s">
        <v>357</v>
      </c>
      <c r="C334" s="214" t="s">
        <v>434</v>
      </c>
      <c r="D334" s="557" t="s">
        <v>50</v>
      </c>
      <c r="E334" s="557" t="s">
        <v>98</v>
      </c>
      <c r="F334" s="558" t="s">
        <v>223</v>
      </c>
      <c r="G334" s="559" t="s">
        <v>29</v>
      </c>
      <c r="H334" s="559" t="s">
        <v>223</v>
      </c>
      <c r="I334" s="560" t="s">
        <v>356</v>
      </c>
      <c r="J334" s="561"/>
      <c r="K334" s="336">
        <f t="shared" si="107"/>
        <v>11.2</v>
      </c>
      <c r="L334" s="69">
        <f t="shared" si="107"/>
        <v>0</v>
      </c>
      <c r="M334" s="336">
        <f t="shared" si="107"/>
        <v>11.2</v>
      </c>
      <c r="N334" s="211"/>
    </row>
    <row r="335" spans="1:14" s="183" customFormat="1" ht="54" x14ac:dyDescent="0.35">
      <c r="A335" s="178"/>
      <c r="B335" s="719" t="s">
        <v>53</v>
      </c>
      <c r="C335" s="426" t="s">
        <v>434</v>
      </c>
      <c r="D335" s="753" t="s">
        <v>50</v>
      </c>
      <c r="E335" s="557" t="s">
        <v>98</v>
      </c>
      <c r="F335" s="558" t="s">
        <v>223</v>
      </c>
      <c r="G335" s="559" t="s">
        <v>29</v>
      </c>
      <c r="H335" s="559" t="s">
        <v>223</v>
      </c>
      <c r="I335" s="560" t="s">
        <v>356</v>
      </c>
      <c r="J335" s="561" t="s">
        <v>54</v>
      </c>
      <c r="K335" s="336">
        <v>11.2</v>
      </c>
      <c r="L335" s="69">
        <f>M335-K335</f>
        <v>0</v>
      </c>
      <c r="M335" s="336">
        <v>11.2</v>
      </c>
      <c r="N335" s="211"/>
    </row>
    <row r="336" spans="1:14" s="183" customFormat="1" ht="18" customHeight="1" x14ac:dyDescent="0.35">
      <c r="A336" s="178"/>
      <c r="B336" s="737" t="s">
        <v>175</v>
      </c>
      <c r="C336" s="179" t="s">
        <v>434</v>
      </c>
      <c r="D336" s="180" t="s">
        <v>63</v>
      </c>
      <c r="E336" s="180"/>
      <c r="F336" s="131"/>
      <c r="G336" s="132"/>
      <c r="H336" s="132"/>
      <c r="I336" s="153"/>
      <c r="J336" s="690"/>
      <c r="K336" s="182">
        <f t="shared" ref="K336:M339" si="108">K337</f>
        <v>97055</v>
      </c>
      <c r="L336" s="182">
        <f t="shared" si="108"/>
        <v>0</v>
      </c>
      <c r="M336" s="182">
        <f t="shared" si="108"/>
        <v>97055</v>
      </c>
      <c r="N336" s="211"/>
    </row>
    <row r="337" spans="1:14" s="183" customFormat="1" ht="18" customHeight="1" x14ac:dyDescent="0.35">
      <c r="A337" s="178"/>
      <c r="B337" s="653" t="s">
        <v>353</v>
      </c>
      <c r="C337" s="179" t="s">
        <v>434</v>
      </c>
      <c r="D337" s="180" t="s">
        <v>63</v>
      </c>
      <c r="E337" s="180" t="s">
        <v>38</v>
      </c>
      <c r="F337" s="131"/>
      <c r="G337" s="132"/>
      <c r="H337" s="132"/>
      <c r="I337" s="153"/>
      <c r="J337" s="134"/>
      <c r="K337" s="182">
        <f t="shared" ref="K337:M338" si="109">K338</f>
        <v>97055</v>
      </c>
      <c r="L337" s="182">
        <f t="shared" si="109"/>
        <v>0</v>
      </c>
      <c r="M337" s="182">
        <f t="shared" si="109"/>
        <v>97055</v>
      </c>
      <c r="N337" s="211"/>
    </row>
    <row r="338" spans="1:14" s="183" customFormat="1" ht="72" customHeight="1" x14ac:dyDescent="0.35">
      <c r="A338" s="178"/>
      <c r="B338" s="673" t="s">
        <v>352</v>
      </c>
      <c r="C338" s="179" t="s">
        <v>434</v>
      </c>
      <c r="D338" s="180" t="s">
        <v>63</v>
      </c>
      <c r="E338" s="180" t="s">
        <v>38</v>
      </c>
      <c r="F338" s="131" t="s">
        <v>102</v>
      </c>
      <c r="G338" s="132" t="s">
        <v>41</v>
      </c>
      <c r="H338" s="132" t="s">
        <v>42</v>
      </c>
      <c r="I338" s="153" t="s">
        <v>43</v>
      </c>
      <c r="J338" s="134"/>
      <c r="K338" s="182">
        <f t="shared" si="109"/>
        <v>97055</v>
      </c>
      <c r="L338" s="182">
        <f t="shared" si="109"/>
        <v>0</v>
      </c>
      <c r="M338" s="182">
        <f t="shared" si="109"/>
        <v>97055</v>
      </c>
      <c r="N338" s="211"/>
    </row>
    <row r="339" spans="1:14" s="183" customFormat="1" ht="54" customHeight="1" x14ac:dyDescent="0.35">
      <c r="A339" s="178"/>
      <c r="B339" s="663" t="s">
        <v>354</v>
      </c>
      <c r="C339" s="179" t="s">
        <v>434</v>
      </c>
      <c r="D339" s="180" t="s">
        <v>63</v>
      </c>
      <c r="E339" s="180" t="s">
        <v>38</v>
      </c>
      <c r="F339" s="131" t="s">
        <v>102</v>
      </c>
      <c r="G339" s="132" t="s">
        <v>44</v>
      </c>
      <c r="H339" s="132" t="s">
        <v>42</v>
      </c>
      <c r="I339" s="153" t="s">
        <v>43</v>
      </c>
      <c r="J339" s="134"/>
      <c r="K339" s="182">
        <f t="shared" si="108"/>
        <v>97055</v>
      </c>
      <c r="L339" s="182">
        <f t="shared" si="108"/>
        <v>0</v>
      </c>
      <c r="M339" s="182">
        <f t="shared" si="108"/>
        <v>97055</v>
      </c>
      <c r="N339" s="211"/>
    </row>
    <row r="340" spans="1:14" s="183" customFormat="1" ht="54" customHeight="1" x14ac:dyDescent="0.35">
      <c r="A340" s="178"/>
      <c r="B340" s="663" t="s">
        <v>394</v>
      </c>
      <c r="C340" s="179" t="s">
        <v>434</v>
      </c>
      <c r="D340" s="180" t="s">
        <v>63</v>
      </c>
      <c r="E340" s="180" t="s">
        <v>38</v>
      </c>
      <c r="F340" s="131" t="s">
        <v>102</v>
      </c>
      <c r="G340" s="132" t="s">
        <v>44</v>
      </c>
      <c r="H340" s="132" t="s">
        <v>36</v>
      </c>
      <c r="I340" s="153" t="s">
        <v>43</v>
      </c>
      <c r="J340" s="134"/>
      <c r="K340" s="182">
        <f t="shared" ref="K340:M341" si="110">K341</f>
        <v>97055</v>
      </c>
      <c r="L340" s="182">
        <f t="shared" si="110"/>
        <v>0</v>
      </c>
      <c r="M340" s="182">
        <f t="shared" si="110"/>
        <v>97055</v>
      </c>
      <c r="N340" s="211"/>
    </row>
    <row r="341" spans="1:14" s="183" customFormat="1" ht="72" customHeight="1" x14ac:dyDescent="0.35">
      <c r="A341" s="178"/>
      <c r="B341" s="663" t="s">
        <v>512</v>
      </c>
      <c r="C341" s="179" t="s">
        <v>434</v>
      </c>
      <c r="D341" s="180" t="s">
        <v>63</v>
      </c>
      <c r="E341" s="180" t="s">
        <v>38</v>
      </c>
      <c r="F341" s="131" t="s">
        <v>102</v>
      </c>
      <c r="G341" s="132" t="s">
        <v>44</v>
      </c>
      <c r="H341" s="132" t="s">
        <v>36</v>
      </c>
      <c r="I341" s="153" t="s">
        <v>435</v>
      </c>
      <c r="J341" s="134"/>
      <c r="K341" s="182">
        <f t="shared" si="110"/>
        <v>97055</v>
      </c>
      <c r="L341" s="182">
        <f t="shared" si="110"/>
        <v>0</v>
      </c>
      <c r="M341" s="182">
        <f t="shared" si="110"/>
        <v>97055</v>
      </c>
      <c r="N341" s="211"/>
    </row>
    <row r="342" spans="1:14" s="183" customFormat="1" ht="54" customHeight="1" x14ac:dyDescent="0.35">
      <c r="A342" s="178"/>
      <c r="B342" s="663" t="s">
        <v>201</v>
      </c>
      <c r="C342" s="179" t="s">
        <v>434</v>
      </c>
      <c r="D342" s="180" t="s">
        <v>63</v>
      </c>
      <c r="E342" s="180" t="s">
        <v>38</v>
      </c>
      <c r="F342" s="131" t="s">
        <v>102</v>
      </c>
      <c r="G342" s="132" t="s">
        <v>44</v>
      </c>
      <c r="H342" s="132" t="s">
        <v>36</v>
      </c>
      <c r="I342" s="153" t="s">
        <v>435</v>
      </c>
      <c r="J342" s="134" t="s">
        <v>202</v>
      </c>
      <c r="K342" s="182">
        <f>92202.2+4852.8</f>
        <v>97055</v>
      </c>
      <c r="L342" s="69">
        <f>M342-K342</f>
        <v>0</v>
      </c>
      <c r="M342" s="182">
        <f>92202.2+4852.8</f>
        <v>97055</v>
      </c>
      <c r="N342" s="211"/>
    </row>
    <row r="343" spans="1:14" s="183" customFormat="1" ht="18" customHeight="1" x14ac:dyDescent="0.35">
      <c r="A343" s="178"/>
      <c r="B343" s="674" t="s">
        <v>177</v>
      </c>
      <c r="C343" s="179" t="s">
        <v>434</v>
      </c>
      <c r="D343" s="180" t="s">
        <v>221</v>
      </c>
      <c r="E343" s="180"/>
      <c r="F343" s="131"/>
      <c r="G343" s="132"/>
      <c r="H343" s="132"/>
      <c r="I343" s="153"/>
      <c r="J343" s="134"/>
      <c r="K343" s="182">
        <f>K344+K352+K360</f>
        <v>64080.43</v>
      </c>
      <c r="L343" s="182">
        <f>L344+L352+L360</f>
        <v>5.04</v>
      </c>
      <c r="M343" s="182">
        <f>M344+M352+M360</f>
        <v>64085.47</v>
      </c>
      <c r="N343" s="211"/>
    </row>
    <row r="344" spans="1:14" s="183" customFormat="1" ht="18" x14ac:dyDescent="0.35">
      <c r="A344" s="178"/>
      <c r="B344" s="674" t="s">
        <v>179</v>
      </c>
      <c r="C344" s="179" t="s">
        <v>434</v>
      </c>
      <c r="D344" s="180" t="s">
        <v>221</v>
      </c>
      <c r="E344" s="180" t="s">
        <v>36</v>
      </c>
      <c r="F344" s="131"/>
      <c r="G344" s="132"/>
      <c r="H344" s="132"/>
      <c r="I344" s="133"/>
      <c r="J344" s="134"/>
      <c r="K344" s="182">
        <f t="shared" ref="K344:M350" si="111">K345</f>
        <v>29583.43</v>
      </c>
      <c r="L344" s="182">
        <f t="shared" si="111"/>
        <v>0</v>
      </c>
      <c r="M344" s="182">
        <f t="shared" si="111"/>
        <v>29583.43</v>
      </c>
      <c r="N344" s="211"/>
    </row>
    <row r="345" spans="1:14" s="183" customFormat="1" ht="54" x14ac:dyDescent="0.35">
      <c r="A345" s="178"/>
      <c r="B345" s="674" t="s">
        <v>456</v>
      </c>
      <c r="C345" s="179" t="s">
        <v>434</v>
      </c>
      <c r="D345" s="180" t="s">
        <v>221</v>
      </c>
      <c r="E345" s="180" t="s">
        <v>36</v>
      </c>
      <c r="F345" s="131" t="s">
        <v>38</v>
      </c>
      <c r="G345" s="132" t="s">
        <v>41</v>
      </c>
      <c r="H345" s="132" t="s">
        <v>42</v>
      </c>
      <c r="I345" s="133" t="s">
        <v>43</v>
      </c>
      <c r="J345" s="134"/>
      <c r="K345" s="182">
        <f t="shared" si="111"/>
        <v>29583.43</v>
      </c>
      <c r="L345" s="182">
        <f t="shared" si="111"/>
        <v>0</v>
      </c>
      <c r="M345" s="182">
        <f t="shared" si="111"/>
        <v>29583.43</v>
      </c>
      <c r="N345" s="211"/>
    </row>
    <row r="346" spans="1:14" s="183" customFormat="1" ht="36" x14ac:dyDescent="0.35">
      <c r="A346" s="178"/>
      <c r="B346" s="674" t="s">
        <v>204</v>
      </c>
      <c r="C346" s="179" t="s">
        <v>434</v>
      </c>
      <c r="D346" s="180" t="s">
        <v>221</v>
      </c>
      <c r="E346" s="180" t="s">
        <v>36</v>
      </c>
      <c r="F346" s="131" t="s">
        <v>38</v>
      </c>
      <c r="G346" s="132" t="s">
        <v>44</v>
      </c>
      <c r="H346" s="132" t="s">
        <v>42</v>
      </c>
      <c r="I346" s="133" t="s">
        <v>43</v>
      </c>
      <c r="J346" s="134"/>
      <c r="K346" s="182">
        <f t="shared" si="111"/>
        <v>29583.43</v>
      </c>
      <c r="L346" s="182">
        <f t="shared" si="111"/>
        <v>0</v>
      </c>
      <c r="M346" s="182">
        <f t="shared" si="111"/>
        <v>29583.43</v>
      </c>
      <c r="N346" s="211"/>
    </row>
    <row r="347" spans="1:14" s="183" customFormat="1" ht="36" x14ac:dyDescent="0.35">
      <c r="A347" s="178"/>
      <c r="B347" s="674" t="s">
        <v>281</v>
      </c>
      <c r="C347" s="179" t="s">
        <v>434</v>
      </c>
      <c r="D347" s="180" t="s">
        <v>221</v>
      </c>
      <c r="E347" s="180" t="s">
        <v>36</v>
      </c>
      <c r="F347" s="131" t="s">
        <v>38</v>
      </c>
      <c r="G347" s="132" t="s">
        <v>44</v>
      </c>
      <c r="H347" s="132" t="s">
        <v>36</v>
      </c>
      <c r="I347" s="153" t="s">
        <v>43</v>
      </c>
      <c r="J347" s="134"/>
      <c r="K347" s="182">
        <f>K348+K350</f>
        <v>29583.43</v>
      </c>
      <c r="L347" s="182">
        <f>L348+L350</f>
        <v>0</v>
      </c>
      <c r="M347" s="182">
        <f>M348+M350</f>
        <v>29583.43</v>
      </c>
      <c r="N347" s="211"/>
    </row>
    <row r="348" spans="1:14" s="183" customFormat="1" ht="36" x14ac:dyDescent="0.35">
      <c r="A348" s="178"/>
      <c r="B348" s="610" t="s">
        <v>206</v>
      </c>
      <c r="C348" s="179" t="s">
        <v>434</v>
      </c>
      <c r="D348" s="180" t="s">
        <v>221</v>
      </c>
      <c r="E348" s="180" t="s">
        <v>36</v>
      </c>
      <c r="F348" s="131" t="s">
        <v>38</v>
      </c>
      <c r="G348" s="132" t="s">
        <v>44</v>
      </c>
      <c r="H348" s="132" t="s">
        <v>36</v>
      </c>
      <c r="I348" s="153" t="s">
        <v>288</v>
      </c>
      <c r="J348" s="134"/>
      <c r="K348" s="182">
        <f>K349</f>
        <v>2145.9</v>
      </c>
      <c r="L348" s="182">
        <f>L349</f>
        <v>0</v>
      </c>
      <c r="M348" s="182">
        <f>M349</f>
        <v>2145.9</v>
      </c>
      <c r="N348" s="211"/>
    </row>
    <row r="349" spans="1:14" s="183" customFormat="1" ht="54" x14ac:dyDescent="0.35">
      <c r="A349" s="178"/>
      <c r="B349" s="773" t="s">
        <v>201</v>
      </c>
      <c r="C349" s="224" t="s">
        <v>434</v>
      </c>
      <c r="D349" s="339" t="s">
        <v>221</v>
      </c>
      <c r="E349" s="339" t="s">
        <v>36</v>
      </c>
      <c r="F349" s="184" t="s">
        <v>38</v>
      </c>
      <c r="G349" s="185" t="s">
        <v>44</v>
      </c>
      <c r="H349" s="185" t="s">
        <v>36</v>
      </c>
      <c r="I349" s="585" t="s">
        <v>288</v>
      </c>
      <c r="J349" s="586" t="s">
        <v>202</v>
      </c>
      <c r="K349" s="247">
        <f>1245.9+450+450</f>
        <v>2145.9</v>
      </c>
      <c r="L349" s="774">
        <f>M349-K349</f>
        <v>0</v>
      </c>
      <c r="M349" s="247">
        <f>1245.9+450+450</f>
        <v>2145.9</v>
      </c>
      <c r="N349" s="211"/>
    </row>
    <row r="350" spans="1:14" s="183" customFormat="1" ht="144" x14ac:dyDescent="0.35">
      <c r="A350" s="178"/>
      <c r="B350" s="956" t="s">
        <v>757</v>
      </c>
      <c r="C350" s="426" t="s">
        <v>434</v>
      </c>
      <c r="D350" s="427" t="s">
        <v>221</v>
      </c>
      <c r="E350" s="762" t="s">
        <v>36</v>
      </c>
      <c r="F350" s="762" t="s">
        <v>38</v>
      </c>
      <c r="G350" s="763" t="s">
        <v>44</v>
      </c>
      <c r="H350" s="763" t="s">
        <v>36</v>
      </c>
      <c r="I350" s="764" t="s">
        <v>513</v>
      </c>
      <c r="J350" s="765"/>
      <c r="K350" s="182">
        <f t="shared" si="111"/>
        <v>27437.53</v>
      </c>
      <c r="L350" s="182">
        <f t="shared" si="111"/>
        <v>0</v>
      </c>
      <c r="M350" s="182">
        <f t="shared" si="111"/>
        <v>27437.53</v>
      </c>
      <c r="N350" s="211"/>
    </row>
    <row r="351" spans="1:14" s="183" customFormat="1" ht="54" x14ac:dyDescent="0.35">
      <c r="A351" s="178"/>
      <c r="B351" s="778" t="s">
        <v>201</v>
      </c>
      <c r="C351" s="779" t="s">
        <v>434</v>
      </c>
      <c r="D351" s="557" t="s">
        <v>221</v>
      </c>
      <c r="E351" s="557" t="s">
        <v>36</v>
      </c>
      <c r="F351" s="766" t="s">
        <v>38</v>
      </c>
      <c r="G351" s="767" t="s">
        <v>44</v>
      </c>
      <c r="H351" s="767" t="s">
        <v>36</v>
      </c>
      <c r="I351" s="768" t="s">
        <v>513</v>
      </c>
      <c r="J351" s="690" t="s">
        <v>202</v>
      </c>
      <c r="K351" s="182">
        <f>16844+521+10072.53</f>
        <v>27437.53</v>
      </c>
      <c r="L351" s="69">
        <f>M351-K351</f>
        <v>0</v>
      </c>
      <c r="M351" s="182">
        <f>16844+521+10072.53</f>
        <v>27437.53</v>
      </c>
      <c r="N351" s="211"/>
    </row>
    <row r="352" spans="1:14" s="183" customFormat="1" ht="18" customHeight="1" x14ac:dyDescent="0.35">
      <c r="A352" s="178"/>
      <c r="B352" s="674" t="s">
        <v>181</v>
      </c>
      <c r="C352" s="179" t="s">
        <v>434</v>
      </c>
      <c r="D352" s="180" t="s">
        <v>221</v>
      </c>
      <c r="E352" s="180" t="s">
        <v>38</v>
      </c>
      <c r="F352" s="131"/>
      <c r="G352" s="132"/>
      <c r="H352" s="132"/>
      <c r="I352" s="153"/>
      <c r="J352" s="134"/>
      <c r="K352" s="182">
        <f t="shared" ref="K352:M358" si="112">K353</f>
        <v>34464.199999999997</v>
      </c>
      <c r="L352" s="182">
        <f t="shared" si="112"/>
        <v>5.04</v>
      </c>
      <c r="M352" s="182">
        <f t="shared" si="112"/>
        <v>34469.24</v>
      </c>
      <c r="N352" s="211"/>
    </row>
    <row r="353" spans="1:14" s="183" customFormat="1" ht="54" customHeight="1" x14ac:dyDescent="0.35">
      <c r="A353" s="178"/>
      <c r="B353" s="674" t="s">
        <v>203</v>
      </c>
      <c r="C353" s="179" t="s">
        <v>434</v>
      </c>
      <c r="D353" s="180" t="s">
        <v>221</v>
      </c>
      <c r="E353" s="180" t="s">
        <v>38</v>
      </c>
      <c r="F353" s="131" t="s">
        <v>38</v>
      </c>
      <c r="G353" s="132" t="s">
        <v>41</v>
      </c>
      <c r="H353" s="132" t="s">
        <v>42</v>
      </c>
      <c r="I353" s="133" t="s">
        <v>43</v>
      </c>
      <c r="J353" s="134"/>
      <c r="K353" s="182">
        <f t="shared" si="112"/>
        <v>34464.199999999997</v>
      </c>
      <c r="L353" s="182">
        <f t="shared" si="112"/>
        <v>5.04</v>
      </c>
      <c r="M353" s="182">
        <f t="shared" si="112"/>
        <v>34469.24</v>
      </c>
      <c r="N353" s="211"/>
    </row>
    <row r="354" spans="1:14" s="183" customFormat="1" ht="36" customHeight="1" x14ac:dyDescent="0.35">
      <c r="A354" s="178"/>
      <c r="B354" s="674" t="s">
        <v>204</v>
      </c>
      <c r="C354" s="179" t="s">
        <v>434</v>
      </c>
      <c r="D354" s="180" t="s">
        <v>221</v>
      </c>
      <c r="E354" s="180" t="s">
        <v>38</v>
      </c>
      <c r="F354" s="131" t="s">
        <v>38</v>
      </c>
      <c r="G354" s="132" t="s">
        <v>44</v>
      </c>
      <c r="H354" s="132" t="s">
        <v>42</v>
      </c>
      <c r="I354" s="133" t="s">
        <v>43</v>
      </c>
      <c r="J354" s="134"/>
      <c r="K354" s="182">
        <f t="shared" si="112"/>
        <v>34464.199999999997</v>
      </c>
      <c r="L354" s="182">
        <f>L355</f>
        <v>5.04</v>
      </c>
      <c r="M354" s="182">
        <f t="shared" si="112"/>
        <v>34469.24</v>
      </c>
      <c r="N354" s="211"/>
    </row>
    <row r="355" spans="1:14" s="183" customFormat="1" ht="18" customHeight="1" x14ac:dyDescent="0.35">
      <c r="A355" s="178"/>
      <c r="B355" s="674" t="s">
        <v>286</v>
      </c>
      <c r="C355" s="179" t="s">
        <v>434</v>
      </c>
      <c r="D355" s="180" t="s">
        <v>221</v>
      </c>
      <c r="E355" s="180" t="s">
        <v>38</v>
      </c>
      <c r="F355" s="131" t="s">
        <v>38</v>
      </c>
      <c r="G355" s="132" t="s">
        <v>44</v>
      </c>
      <c r="H355" s="132" t="s">
        <v>38</v>
      </c>
      <c r="I355" s="133" t="s">
        <v>43</v>
      </c>
      <c r="J355" s="134"/>
      <c r="K355" s="182">
        <f>K358</f>
        <v>34464.199999999997</v>
      </c>
      <c r="L355" s="247">
        <f>L356+L358</f>
        <v>5.04</v>
      </c>
      <c r="M355" s="247">
        <f>M356+M358</f>
        <v>34469.24</v>
      </c>
      <c r="N355" s="211"/>
    </row>
    <row r="356" spans="1:14" s="183" customFormat="1" ht="36" x14ac:dyDescent="0.35">
      <c r="A356" s="178"/>
      <c r="B356" s="610" t="s">
        <v>206</v>
      </c>
      <c r="C356" s="179" t="s">
        <v>434</v>
      </c>
      <c r="D356" s="180" t="s">
        <v>221</v>
      </c>
      <c r="E356" s="180" t="s">
        <v>38</v>
      </c>
      <c r="F356" s="131" t="s">
        <v>38</v>
      </c>
      <c r="G356" s="132" t="s">
        <v>44</v>
      </c>
      <c r="H356" s="132" t="s">
        <v>38</v>
      </c>
      <c r="I356" s="153" t="s">
        <v>288</v>
      </c>
      <c r="J356" s="134"/>
      <c r="K356" s="783"/>
      <c r="L356" s="315">
        <f>L357</f>
        <v>5.04</v>
      </c>
      <c r="M356" s="315">
        <f>M357</f>
        <v>5.04</v>
      </c>
      <c r="N356" s="211"/>
    </row>
    <row r="357" spans="1:14" s="183" customFormat="1" ht="54" x14ac:dyDescent="0.35">
      <c r="A357" s="178"/>
      <c r="B357" s="773" t="s">
        <v>201</v>
      </c>
      <c r="C357" s="224" t="s">
        <v>434</v>
      </c>
      <c r="D357" s="180" t="s">
        <v>221</v>
      </c>
      <c r="E357" s="180" t="s">
        <v>38</v>
      </c>
      <c r="F357" s="184" t="s">
        <v>38</v>
      </c>
      <c r="G357" s="185" t="s">
        <v>44</v>
      </c>
      <c r="H357" s="185" t="s">
        <v>38</v>
      </c>
      <c r="I357" s="585" t="s">
        <v>288</v>
      </c>
      <c r="J357" s="586" t="s">
        <v>202</v>
      </c>
      <c r="K357" s="783"/>
      <c r="L357" s="69">
        <f>M357-K357</f>
        <v>5.04</v>
      </c>
      <c r="M357" s="315">
        <v>5.04</v>
      </c>
      <c r="N357" s="211"/>
    </row>
    <row r="358" spans="1:14" s="183" customFormat="1" ht="147" customHeight="1" x14ac:dyDescent="0.35">
      <c r="A358" s="178"/>
      <c r="B358" s="698" t="s">
        <v>757</v>
      </c>
      <c r="C358" s="699" t="s">
        <v>434</v>
      </c>
      <c r="D358" s="700" t="s">
        <v>221</v>
      </c>
      <c r="E358" s="700" t="s">
        <v>38</v>
      </c>
      <c r="F358" s="466" t="s">
        <v>38</v>
      </c>
      <c r="G358" s="467" t="s">
        <v>44</v>
      </c>
      <c r="H358" s="467" t="s">
        <v>38</v>
      </c>
      <c r="I358" s="468" t="s">
        <v>513</v>
      </c>
      <c r="J358" s="525"/>
      <c r="K358" s="701">
        <f>K359</f>
        <v>34464.199999999997</v>
      </c>
      <c r="L358" s="701">
        <f t="shared" si="112"/>
        <v>0</v>
      </c>
      <c r="M358" s="701">
        <f>M359</f>
        <v>34464.199999999997</v>
      </c>
      <c r="N358" s="211"/>
    </row>
    <row r="359" spans="1:14" s="183" customFormat="1" ht="54" customHeight="1" x14ac:dyDescent="0.35">
      <c r="A359" s="178"/>
      <c r="B359" s="698" t="s">
        <v>201</v>
      </c>
      <c r="C359" s="715" t="s">
        <v>434</v>
      </c>
      <c r="D359" s="716" t="s">
        <v>221</v>
      </c>
      <c r="E359" s="716" t="s">
        <v>38</v>
      </c>
      <c r="F359" s="706" t="s">
        <v>38</v>
      </c>
      <c r="G359" s="707" t="s">
        <v>44</v>
      </c>
      <c r="H359" s="707" t="s">
        <v>38</v>
      </c>
      <c r="I359" s="708" t="s">
        <v>513</v>
      </c>
      <c r="J359" s="525" t="s">
        <v>202</v>
      </c>
      <c r="K359" s="701">
        <v>34464.199999999997</v>
      </c>
      <c r="L359" s="69">
        <f>M359-K359</f>
        <v>0</v>
      </c>
      <c r="M359" s="701">
        <v>34464.199999999997</v>
      </c>
      <c r="N359" s="211"/>
    </row>
    <row r="360" spans="1:14" s="183" customFormat="1" ht="36" customHeight="1" x14ac:dyDescent="0.35">
      <c r="A360" s="178"/>
      <c r="B360" s="610" t="s">
        <v>542</v>
      </c>
      <c r="C360" s="179" t="s">
        <v>434</v>
      </c>
      <c r="D360" s="55" t="s">
        <v>221</v>
      </c>
      <c r="E360" s="55" t="s">
        <v>63</v>
      </c>
      <c r="F360" s="131"/>
      <c r="G360" s="132"/>
      <c r="H360" s="132"/>
      <c r="I360" s="133"/>
      <c r="J360" s="134"/>
      <c r="K360" s="315">
        <f t="shared" ref="K360:M364" si="113">K361</f>
        <v>32.799999999999997</v>
      </c>
      <c r="L360" s="315">
        <f t="shared" si="113"/>
        <v>0</v>
      </c>
      <c r="M360" s="315">
        <f t="shared" si="113"/>
        <v>32.799999999999997</v>
      </c>
      <c r="N360" s="211"/>
    </row>
    <row r="361" spans="1:14" s="183" customFormat="1" ht="54" customHeight="1" x14ac:dyDescent="0.35">
      <c r="A361" s="178"/>
      <c r="B361" s="653" t="s">
        <v>222</v>
      </c>
      <c r="C361" s="179" t="s">
        <v>434</v>
      </c>
      <c r="D361" s="55" t="s">
        <v>221</v>
      </c>
      <c r="E361" s="55" t="s">
        <v>63</v>
      </c>
      <c r="F361" s="142" t="s">
        <v>223</v>
      </c>
      <c r="G361" s="132" t="s">
        <v>41</v>
      </c>
      <c r="H361" s="132" t="s">
        <v>42</v>
      </c>
      <c r="I361" s="133" t="s">
        <v>43</v>
      </c>
      <c r="J361" s="134"/>
      <c r="K361" s="315">
        <f t="shared" si="113"/>
        <v>32.799999999999997</v>
      </c>
      <c r="L361" s="315">
        <f t="shared" si="113"/>
        <v>0</v>
      </c>
      <c r="M361" s="315">
        <f t="shared" si="113"/>
        <v>32.799999999999997</v>
      </c>
      <c r="N361" s="211"/>
    </row>
    <row r="362" spans="1:14" s="183" customFormat="1" ht="36" customHeight="1" x14ac:dyDescent="0.35">
      <c r="A362" s="178"/>
      <c r="B362" s="674" t="s">
        <v>226</v>
      </c>
      <c r="C362" s="179" t="s">
        <v>434</v>
      </c>
      <c r="D362" s="55" t="s">
        <v>221</v>
      </c>
      <c r="E362" s="55" t="s">
        <v>63</v>
      </c>
      <c r="F362" s="142" t="s">
        <v>223</v>
      </c>
      <c r="G362" s="132" t="s">
        <v>87</v>
      </c>
      <c r="H362" s="132" t="s">
        <v>42</v>
      </c>
      <c r="I362" s="133" t="s">
        <v>43</v>
      </c>
      <c r="J362" s="134"/>
      <c r="K362" s="315">
        <f t="shared" si="113"/>
        <v>32.799999999999997</v>
      </c>
      <c r="L362" s="315">
        <f t="shared" si="113"/>
        <v>0</v>
      </c>
      <c r="M362" s="315">
        <f t="shared" si="113"/>
        <v>32.799999999999997</v>
      </c>
      <c r="N362" s="211"/>
    </row>
    <row r="363" spans="1:14" s="183" customFormat="1" ht="72" customHeight="1" x14ac:dyDescent="0.35">
      <c r="A363" s="178"/>
      <c r="B363" s="674" t="s">
        <v>315</v>
      </c>
      <c r="C363" s="179" t="s">
        <v>434</v>
      </c>
      <c r="D363" s="55" t="s">
        <v>221</v>
      </c>
      <c r="E363" s="55" t="s">
        <v>63</v>
      </c>
      <c r="F363" s="142" t="s">
        <v>223</v>
      </c>
      <c r="G363" s="132" t="s">
        <v>87</v>
      </c>
      <c r="H363" s="132" t="s">
        <v>36</v>
      </c>
      <c r="I363" s="133" t="s">
        <v>43</v>
      </c>
      <c r="J363" s="134"/>
      <c r="K363" s="315">
        <f t="shared" si="113"/>
        <v>32.799999999999997</v>
      </c>
      <c r="L363" s="315">
        <f t="shared" si="113"/>
        <v>0</v>
      </c>
      <c r="M363" s="315">
        <f t="shared" si="113"/>
        <v>32.799999999999997</v>
      </c>
      <c r="N363" s="211"/>
    </row>
    <row r="364" spans="1:14" s="183" customFormat="1" ht="36" customHeight="1" x14ac:dyDescent="0.35">
      <c r="A364" s="178"/>
      <c r="B364" s="610" t="s">
        <v>544</v>
      </c>
      <c r="C364" s="179" t="s">
        <v>434</v>
      </c>
      <c r="D364" s="55" t="s">
        <v>221</v>
      </c>
      <c r="E364" s="55" t="s">
        <v>63</v>
      </c>
      <c r="F364" s="142" t="s">
        <v>223</v>
      </c>
      <c r="G364" s="132" t="s">
        <v>87</v>
      </c>
      <c r="H364" s="132" t="s">
        <v>36</v>
      </c>
      <c r="I364" s="133" t="s">
        <v>543</v>
      </c>
      <c r="J364" s="134"/>
      <c r="K364" s="315">
        <f t="shared" si="113"/>
        <v>32.799999999999997</v>
      </c>
      <c r="L364" s="315">
        <f t="shared" si="113"/>
        <v>0</v>
      </c>
      <c r="M364" s="315">
        <f t="shared" si="113"/>
        <v>32.799999999999997</v>
      </c>
      <c r="N364" s="211"/>
    </row>
    <row r="365" spans="1:14" s="183" customFormat="1" ht="54" customHeight="1" x14ac:dyDescent="0.35">
      <c r="A365" s="178"/>
      <c r="B365" s="610" t="s">
        <v>53</v>
      </c>
      <c r="C365" s="179" t="s">
        <v>434</v>
      </c>
      <c r="D365" s="55" t="s">
        <v>221</v>
      </c>
      <c r="E365" s="55" t="s">
        <v>63</v>
      </c>
      <c r="F365" s="142" t="s">
        <v>223</v>
      </c>
      <c r="G365" s="132" t="s">
        <v>87</v>
      </c>
      <c r="H365" s="132" t="s">
        <v>36</v>
      </c>
      <c r="I365" s="133" t="s">
        <v>543</v>
      </c>
      <c r="J365" s="134" t="s">
        <v>54</v>
      </c>
      <c r="K365" s="539">
        <v>32.799999999999997</v>
      </c>
      <c r="L365" s="69">
        <f>M365-K365</f>
        <v>0</v>
      </c>
      <c r="M365" s="539">
        <v>32.799999999999997</v>
      </c>
      <c r="N365" s="211"/>
    </row>
    <row r="366" spans="1:14" s="191" customFormat="1" ht="18" customHeight="1" x14ac:dyDescent="0.35">
      <c r="A366" s="189"/>
      <c r="B366" s="675" t="s">
        <v>117</v>
      </c>
      <c r="C366" s="190" t="s">
        <v>434</v>
      </c>
      <c r="D366" s="152" t="s">
        <v>102</v>
      </c>
      <c r="E366" s="180"/>
      <c r="F366" s="149"/>
      <c r="G366" s="150"/>
      <c r="H366" s="150"/>
      <c r="I366" s="151"/>
      <c r="J366" s="152"/>
      <c r="K366" s="225">
        <f t="shared" ref="K366:M367" si="114">K367</f>
        <v>61866.874739999999</v>
      </c>
      <c r="L366" s="225">
        <f t="shared" si="114"/>
        <v>14060.70336</v>
      </c>
      <c r="M366" s="225">
        <f t="shared" si="114"/>
        <v>75927.578099999999</v>
      </c>
    </row>
    <row r="367" spans="1:14" s="191" customFormat="1" ht="18" customHeight="1" x14ac:dyDescent="0.35">
      <c r="A367" s="189"/>
      <c r="B367" s="663" t="s">
        <v>191</v>
      </c>
      <c r="C367" s="190" t="s">
        <v>434</v>
      </c>
      <c r="D367" s="152" t="s">
        <v>102</v>
      </c>
      <c r="E367" s="152" t="s">
        <v>50</v>
      </c>
      <c r="F367" s="149"/>
      <c r="G367" s="150"/>
      <c r="H367" s="150"/>
      <c r="I367" s="151"/>
      <c r="J367" s="152"/>
      <c r="K367" s="225">
        <f t="shared" si="114"/>
        <v>61866.874739999999</v>
      </c>
      <c r="L367" s="225">
        <f t="shared" si="114"/>
        <v>14060.70336</v>
      </c>
      <c r="M367" s="225">
        <f t="shared" si="114"/>
        <v>75927.578099999999</v>
      </c>
    </row>
    <row r="368" spans="1:14" s="191" customFormat="1" ht="54" customHeight="1" x14ac:dyDescent="0.35">
      <c r="A368" s="189"/>
      <c r="B368" s="671" t="s">
        <v>227</v>
      </c>
      <c r="C368" s="190" t="s">
        <v>434</v>
      </c>
      <c r="D368" s="152" t="s">
        <v>102</v>
      </c>
      <c r="E368" s="152" t="s">
        <v>50</v>
      </c>
      <c r="F368" s="149" t="s">
        <v>77</v>
      </c>
      <c r="G368" s="150" t="s">
        <v>41</v>
      </c>
      <c r="H368" s="150" t="s">
        <v>42</v>
      </c>
      <c r="I368" s="151" t="s">
        <v>43</v>
      </c>
      <c r="J368" s="152"/>
      <c r="K368" s="225">
        <f t="shared" ref="K368:M369" si="115">K369</f>
        <v>61866.874739999999</v>
      </c>
      <c r="L368" s="225">
        <f t="shared" si="115"/>
        <v>14060.70336</v>
      </c>
      <c r="M368" s="225">
        <f t="shared" si="115"/>
        <v>75927.578099999999</v>
      </c>
    </row>
    <row r="369" spans="1:16" s="191" customFormat="1" ht="36" customHeight="1" x14ac:dyDescent="0.35">
      <c r="A369" s="189"/>
      <c r="B369" s="663" t="s">
        <v>359</v>
      </c>
      <c r="C369" s="190" t="s">
        <v>434</v>
      </c>
      <c r="D369" s="152" t="s">
        <v>102</v>
      </c>
      <c r="E369" s="152" t="s">
        <v>50</v>
      </c>
      <c r="F369" s="149" t="s">
        <v>77</v>
      </c>
      <c r="G369" s="150" t="s">
        <v>44</v>
      </c>
      <c r="H369" s="150" t="s">
        <v>42</v>
      </c>
      <c r="I369" s="151" t="s">
        <v>43</v>
      </c>
      <c r="J369" s="152"/>
      <c r="K369" s="225">
        <f t="shared" si="115"/>
        <v>61866.874739999999</v>
      </c>
      <c r="L369" s="225">
        <f t="shared" si="115"/>
        <v>14060.70336</v>
      </c>
      <c r="M369" s="225">
        <f t="shared" si="115"/>
        <v>75927.578099999999</v>
      </c>
    </row>
    <row r="370" spans="1:16" s="192" customFormat="1" ht="90" customHeight="1" x14ac:dyDescent="0.35">
      <c r="A370" s="189"/>
      <c r="B370" s="663" t="s">
        <v>314</v>
      </c>
      <c r="C370" s="190" t="s">
        <v>434</v>
      </c>
      <c r="D370" s="152" t="s">
        <v>102</v>
      </c>
      <c r="E370" s="152" t="s">
        <v>50</v>
      </c>
      <c r="F370" s="149" t="s">
        <v>77</v>
      </c>
      <c r="G370" s="150" t="s">
        <v>44</v>
      </c>
      <c r="H370" s="150" t="s">
        <v>38</v>
      </c>
      <c r="I370" s="151" t="s">
        <v>43</v>
      </c>
      <c r="J370" s="152"/>
      <c r="K370" s="225">
        <f>K371+K373</f>
        <v>61866.874739999999</v>
      </c>
      <c r="L370" s="225">
        <f t="shared" ref="L370" si="116">L371+L373</f>
        <v>14060.70336</v>
      </c>
      <c r="M370" s="225">
        <f>M371+M373</f>
        <v>75927.578099999999</v>
      </c>
    </row>
    <row r="371" spans="1:16" s="183" customFormat="1" ht="108" customHeight="1" x14ac:dyDescent="0.35">
      <c r="A371" s="178"/>
      <c r="B371" s="653" t="s">
        <v>756</v>
      </c>
      <c r="C371" s="179" t="s">
        <v>434</v>
      </c>
      <c r="D371" s="180" t="s">
        <v>102</v>
      </c>
      <c r="E371" s="180" t="s">
        <v>50</v>
      </c>
      <c r="F371" s="131" t="s">
        <v>77</v>
      </c>
      <c r="G371" s="132" t="s">
        <v>44</v>
      </c>
      <c r="H371" s="132" t="s">
        <v>38</v>
      </c>
      <c r="I371" s="153" t="s">
        <v>665</v>
      </c>
      <c r="J371" s="134"/>
      <c r="K371" s="182">
        <f>K372</f>
        <v>56242.574739999996</v>
      </c>
      <c r="L371" s="182">
        <f t="shared" ref="L371" si="117">L372</f>
        <v>14060.70336</v>
      </c>
      <c r="M371" s="182">
        <f>M372</f>
        <v>70303.278099999996</v>
      </c>
      <c r="N371" s="211"/>
    </row>
    <row r="372" spans="1:16" s="183" customFormat="1" ht="54" customHeight="1" x14ac:dyDescent="0.35">
      <c r="A372" s="724"/>
      <c r="B372" s="616" t="s">
        <v>201</v>
      </c>
      <c r="C372" s="179" t="s">
        <v>434</v>
      </c>
      <c r="D372" s="339" t="s">
        <v>102</v>
      </c>
      <c r="E372" s="339" t="s">
        <v>50</v>
      </c>
      <c r="F372" s="184" t="s">
        <v>77</v>
      </c>
      <c r="G372" s="185" t="s">
        <v>44</v>
      </c>
      <c r="H372" s="185" t="s">
        <v>38</v>
      </c>
      <c r="I372" s="585" t="s">
        <v>665</v>
      </c>
      <c r="J372" s="586" t="s">
        <v>202</v>
      </c>
      <c r="K372" s="247">
        <v>56242.574739999996</v>
      </c>
      <c r="L372" s="69">
        <f>M372-K372</f>
        <v>14060.70336</v>
      </c>
      <c r="M372" s="247">
        <f>56242.57474+14060.70336</f>
        <v>70303.278099999996</v>
      </c>
      <c r="N372" s="211"/>
    </row>
    <row r="373" spans="1:16" s="183" customFormat="1" ht="108" x14ac:dyDescent="0.35">
      <c r="A373" s="264"/>
      <c r="B373" s="653" t="s">
        <v>756</v>
      </c>
      <c r="C373" s="224" t="s">
        <v>434</v>
      </c>
      <c r="D373" s="180" t="s">
        <v>102</v>
      </c>
      <c r="E373" s="180" t="s">
        <v>50</v>
      </c>
      <c r="F373" s="131" t="s">
        <v>77</v>
      </c>
      <c r="G373" s="132" t="s">
        <v>44</v>
      </c>
      <c r="H373" s="132" t="s">
        <v>38</v>
      </c>
      <c r="I373" s="153" t="s">
        <v>562</v>
      </c>
      <c r="J373" s="181"/>
      <c r="K373" s="315">
        <f>K374</f>
        <v>5624.3</v>
      </c>
      <c r="L373" s="315">
        <f t="shared" ref="L373" si="118">L374</f>
        <v>0</v>
      </c>
      <c r="M373" s="315">
        <f>M374</f>
        <v>5624.3</v>
      </c>
      <c r="N373" s="211"/>
    </row>
    <row r="374" spans="1:16" s="183" customFormat="1" ht="54" customHeight="1" x14ac:dyDescent="0.35">
      <c r="A374" s="264"/>
      <c r="B374" s="667" t="s">
        <v>201</v>
      </c>
      <c r="C374" s="426" t="s">
        <v>434</v>
      </c>
      <c r="D374" s="752" t="s">
        <v>102</v>
      </c>
      <c r="E374" s="339" t="s">
        <v>50</v>
      </c>
      <c r="F374" s="131" t="s">
        <v>77</v>
      </c>
      <c r="G374" s="132" t="s">
        <v>44</v>
      </c>
      <c r="H374" s="132" t="s">
        <v>38</v>
      </c>
      <c r="I374" s="153" t="s">
        <v>562</v>
      </c>
      <c r="J374" s="729" t="s">
        <v>202</v>
      </c>
      <c r="K374" s="315">
        <v>5624.3</v>
      </c>
      <c r="L374" s="69">
        <f>M374-K374</f>
        <v>0</v>
      </c>
      <c r="M374" s="315">
        <v>5624.3</v>
      </c>
      <c r="N374" s="211"/>
    </row>
    <row r="375" spans="1:16" s="183" customFormat="1" ht="18" customHeight="1" x14ac:dyDescent="0.35">
      <c r="A375" s="702"/>
      <c r="B375" s="614" t="s">
        <v>342</v>
      </c>
      <c r="C375" s="703" t="s">
        <v>434</v>
      </c>
      <c r="D375" s="73" t="s">
        <v>65</v>
      </c>
      <c r="E375" s="73"/>
      <c r="F375" s="258"/>
      <c r="G375" s="259"/>
      <c r="H375" s="259"/>
      <c r="I375" s="260"/>
      <c r="J375" s="705"/>
      <c r="K375" s="543">
        <f t="shared" ref="K375:M380" si="119">K376</f>
        <v>27445.200000000001</v>
      </c>
      <c r="L375" s="543">
        <f t="shared" si="119"/>
        <v>0</v>
      </c>
      <c r="M375" s="543">
        <f t="shared" si="119"/>
        <v>27445.200000000001</v>
      </c>
      <c r="N375" s="211"/>
    </row>
    <row r="376" spans="1:16" s="183" customFormat="1" ht="18" customHeight="1" x14ac:dyDescent="0.35">
      <c r="A376" s="178"/>
      <c r="B376" s="659" t="s">
        <v>380</v>
      </c>
      <c r="C376" s="179" t="s">
        <v>434</v>
      </c>
      <c r="D376" s="597" t="s">
        <v>65</v>
      </c>
      <c r="E376" s="597" t="s">
        <v>36</v>
      </c>
      <c r="F376" s="70"/>
      <c r="G376" s="71"/>
      <c r="H376" s="71"/>
      <c r="I376" s="704"/>
      <c r="J376" s="690"/>
      <c r="K376" s="336">
        <f t="shared" si="119"/>
        <v>27445.200000000001</v>
      </c>
      <c r="L376" s="336">
        <f t="shared" si="119"/>
        <v>0</v>
      </c>
      <c r="M376" s="336">
        <f t="shared" si="119"/>
        <v>27445.200000000001</v>
      </c>
      <c r="N376" s="211"/>
    </row>
    <row r="377" spans="1:16" s="183" customFormat="1" ht="54" customHeight="1" x14ac:dyDescent="0.35">
      <c r="A377" s="178"/>
      <c r="B377" s="610" t="s">
        <v>214</v>
      </c>
      <c r="C377" s="179" t="s">
        <v>434</v>
      </c>
      <c r="D377" s="55" t="s">
        <v>65</v>
      </c>
      <c r="E377" s="55" t="s">
        <v>36</v>
      </c>
      <c r="F377" s="799" t="s">
        <v>50</v>
      </c>
      <c r="G377" s="800" t="s">
        <v>41</v>
      </c>
      <c r="H377" s="800" t="s">
        <v>42</v>
      </c>
      <c r="I377" s="801" t="s">
        <v>43</v>
      </c>
      <c r="J377" s="134"/>
      <c r="K377" s="336">
        <f t="shared" si="119"/>
        <v>27445.200000000001</v>
      </c>
      <c r="L377" s="336">
        <f t="shared" si="119"/>
        <v>0</v>
      </c>
      <c r="M377" s="336">
        <f t="shared" si="119"/>
        <v>27445.200000000001</v>
      </c>
      <c r="N377" s="211"/>
    </row>
    <row r="378" spans="1:16" s="183" customFormat="1" ht="36" customHeight="1" x14ac:dyDescent="0.35">
      <c r="A378" s="178"/>
      <c r="B378" s="659" t="s">
        <v>359</v>
      </c>
      <c r="C378" s="179" t="s">
        <v>434</v>
      </c>
      <c r="D378" s="55" t="s">
        <v>65</v>
      </c>
      <c r="E378" s="55" t="s">
        <v>36</v>
      </c>
      <c r="F378" s="799" t="s">
        <v>50</v>
      </c>
      <c r="G378" s="800" t="s">
        <v>30</v>
      </c>
      <c r="H378" s="800" t="s">
        <v>42</v>
      </c>
      <c r="I378" s="801" t="s">
        <v>43</v>
      </c>
      <c r="J378" s="134"/>
      <c r="K378" s="336">
        <f t="shared" si="119"/>
        <v>27445.200000000001</v>
      </c>
      <c r="L378" s="336">
        <f t="shared" si="119"/>
        <v>0</v>
      </c>
      <c r="M378" s="336">
        <f t="shared" si="119"/>
        <v>27445.200000000001</v>
      </c>
      <c r="N378" s="211"/>
    </row>
    <row r="379" spans="1:16" s="183" customFormat="1" ht="72" customHeight="1" x14ac:dyDescent="0.35">
      <c r="A379" s="178"/>
      <c r="B379" s="610" t="s">
        <v>432</v>
      </c>
      <c r="C379" s="179" t="s">
        <v>434</v>
      </c>
      <c r="D379" s="55" t="s">
        <v>65</v>
      </c>
      <c r="E379" s="55" t="s">
        <v>36</v>
      </c>
      <c r="F379" s="799" t="s">
        <v>50</v>
      </c>
      <c r="G379" s="800" t="s">
        <v>30</v>
      </c>
      <c r="H379" s="800" t="s">
        <v>61</v>
      </c>
      <c r="I379" s="801" t="s">
        <v>43</v>
      </c>
      <c r="J379" s="134"/>
      <c r="K379" s="336">
        <f>K380</f>
        <v>27445.200000000001</v>
      </c>
      <c r="L379" s="336">
        <f t="shared" si="119"/>
        <v>0</v>
      </c>
      <c r="M379" s="336">
        <f>M380</f>
        <v>27445.200000000001</v>
      </c>
      <c r="N379" s="211"/>
    </row>
    <row r="380" spans="1:16" s="183" customFormat="1" ht="147" customHeight="1" x14ac:dyDescent="0.35">
      <c r="A380" s="178"/>
      <c r="B380" s="653" t="s">
        <v>757</v>
      </c>
      <c r="C380" s="179" t="s">
        <v>434</v>
      </c>
      <c r="D380" s="55" t="s">
        <v>65</v>
      </c>
      <c r="E380" s="55" t="s">
        <v>36</v>
      </c>
      <c r="F380" s="799" t="s">
        <v>50</v>
      </c>
      <c r="G380" s="800" t="s">
        <v>30</v>
      </c>
      <c r="H380" s="800" t="s">
        <v>61</v>
      </c>
      <c r="I380" s="801" t="s">
        <v>513</v>
      </c>
      <c r="J380" s="133"/>
      <c r="K380" s="182">
        <f>K381</f>
        <v>27445.200000000001</v>
      </c>
      <c r="L380" s="182">
        <f t="shared" si="119"/>
        <v>0</v>
      </c>
      <c r="M380" s="182">
        <f>M381</f>
        <v>27445.200000000001</v>
      </c>
      <c r="N380" s="211"/>
    </row>
    <row r="381" spans="1:16" s="183" customFormat="1" ht="54" customHeight="1" x14ac:dyDescent="0.35">
      <c r="A381" s="178"/>
      <c r="B381" s="653" t="s">
        <v>201</v>
      </c>
      <c r="C381" s="179" t="s">
        <v>434</v>
      </c>
      <c r="D381" s="55" t="s">
        <v>65</v>
      </c>
      <c r="E381" s="55" t="s">
        <v>36</v>
      </c>
      <c r="F381" s="799" t="s">
        <v>50</v>
      </c>
      <c r="G381" s="800" t="s">
        <v>30</v>
      </c>
      <c r="H381" s="800" t="s">
        <v>61</v>
      </c>
      <c r="I381" s="801" t="s">
        <v>513</v>
      </c>
      <c r="J381" s="133" t="s">
        <v>202</v>
      </c>
      <c r="K381" s="336">
        <v>27445.200000000001</v>
      </c>
      <c r="L381" s="69">
        <f>M381-K381</f>
        <v>0</v>
      </c>
      <c r="M381" s="336">
        <v>27445.200000000001</v>
      </c>
      <c r="N381" s="211"/>
    </row>
    <row r="382" spans="1:16" s="183" customFormat="1" ht="18" customHeight="1" x14ac:dyDescent="0.35">
      <c r="A382" s="178"/>
      <c r="B382" s="653"/>
      <c r="C382" s="206"/>
      <c r="D382" s="207"/>
      <c r="E382" s="207"/>
      <c r="F382" s="208"/>
      <c r="G382" s="209"/>
      <c r="H382" s="209"/>
      <c r="I382" s="210"/>
      <c r="J382" s="207"/>
      <c r="K382" s="182"/>
      <c r="L382" s="182"/>
      <c r="M382" s="182"/>
    </row>
    <row r="383" spans="1:16" s="167" customFormat="1" ht="52.2" customHeight="1" x14ac:dyDescent="0.3">
      <c r="A383" s="162">
        <v>5</v>
      </c>
      <c r="B383" s="656" t="s">
        <v>7</v>
      </c>
      <c r="C383" s="63" t="s">
        <v>443</v>
      </c>
      <c r="D383" s="64"/>
      <c r="E383" s="64"/>
      <c r="F383" s="65"/>
      <c r="G383" s="66"/>
      <c r="H383" s="66"/>
      <c r="I383" s="67"/>
      <c r="J383" s="64"/>
      <c r="K383" s="77">
        <f>K400+K533+K384+K541</f>
        <v>1452955.9314300001</v>
      </c>
      <c r="L383" s="77">
        <f>L400+L533+L384+L541</f>
        <v>10428.900000000005</v>
      </c>
      <c r="M383" s="77">
        <f>M400+M533+M384+M541</f>
        <v>1463384.8314299998</v>
      </c>
      <c r="N383" s="193"/>
      <c r="O383" s="193"/>
      <c r="P383" s="193"/>
    </row>
    <row r="384" spans="1:16" s="167" customFormat="1" ht="18" customHeight="1" x14ac:dyDescent="0.35">
      <c r="A384" s="162"/>
      <c r="B384" s="612" t="s">
        <v>35</v>
      </c>
      <c r="C384" s="299" t="s">
        <v>443</v>
      </c>
      <c r="D384" s="297" t="s">
        <v>36</v>
      </c>
      <c r="E384" s="130"/>
      <c r="F384" s="300"/>
      <c r="G384" s="136"/>
      <c r="H384" s="136"/>
      <c r="I384" s="137"/>
      <c r="J384" s="130"/>
      <c r="K384" s="261">
        <f t="shared" ref="K384:M386" si="120">K385</f>
        <v>520.61800000000005</v>
      </c>
      <c r="L384" s="261">
        <f t="shared" si="120"/>
        <v>0</v>
      </c>
      <c r="M384" s="261">
        <f t="shared" si="120"/>
        <v>520.61800000000005</v>
      </c>
      <c r="N384" s="193"/>
      <c r="O384" s="193"/>
    </row>
    <row r="385" spans="1:15" s="167" customFormat="1" ht="18" customHeight="1" x14ac:dyDescent="0.35">
      <c r="A385" s="162"/>
      <c r="B385" s="612" t="s">
        <v>68</v>
      </c>
      <c r="C385" s="301" t="s">
        <v>443</v>
      </c>
      <c r="D385" s="297" t="s">
        <v>36</v>
      </c>
      <c r="E385" s="297" t="s">
        <v>69</v>
      </c>
      <c r="F385" s="300"/>
      <c r="G385" s="136"/>
      <c r="H385" s="136"/>
      <c r="I385" s="137"/>
      <c r="J385" s="130"/>
      <c r="K385" s="261">
        <f t="shared" si="120"/>
        <v>520.61800000000005</v>
      </c>
      <c r="L385" s="261">
        <f t="shared" si="120"/>
        <v>0</v>
      </c>
      <c r="M385" s="261">
        <f t="shared" si="120"/>
        <v>520.61800000000005</v>
      </c>
      <c r="N385" s="193"/>
      <c r="O385" s="193"/>
    </row>
    <row r="386" spans="1:15" s="167" customFormat="1" ht="54" customHeight="1" x14ac:dyDescent="0.35">
      <c r="A386" s="162"/>
      <c r="B386" s="612" t="s">
        <v>203</v>
      </c>
      <c r="C386" s="299" t="s">
        <v>443</v>
      </c>
      <c r="D386" s="297" t="s">
        <v>36</v>
      </c>
      <c r="E386" s="297" t="s">
        <v>69</v>
      </c>
      <c r="F386" s="792" t="s">
        <v>38</v>
      </c>
      <c r="G386" s="793" t="s">
        <v>41</v>
      </c>
      <c r="H386" s="793" t="s">
        <v>42</v>
      </c>
      <c r="I386" s="794" t="s">
        <v>43</v>
      </c>
      <c r="J386" s="297"/>
      <c r="K386" s="261">
        <f>K387</f>
        <v>520.61800000000005</v>
      </c>
      <c r="L386" s="261">
        <f t="shared" si="120"/>
        <v>0</v>
      </c>
      <c r="M386" s="261">
        <f>M387</f>
        <v>520.61800000000005</v>
      </c>
      <c r="N386" s="193"/>
      <c r="O386" s="193"/>
    </row>
    <row r="387" spans="1:15" s="167" customFormat="1" ht="54" customHeight="1" x14ac:dyDescent="0.35">
      <c r="A387" s="162"/>
      <c r="B387" s="676" t="s">
        <v>210</v>
      </c>
      <c r="C387" s="299" t="s">
        <v>443</v>
      </c>
      <c r="D387" s="297" t="s">
        <v>36</v>
      </c>
      <c r="E387" s="297" t="s">
        <v>69</v>
      </c>
      <c r="F387" s="792" t="s">
        <v>38</v>
      </c>
      <c r="G387" s="793" t="s">
        <v>29</v>
      </c>
      <c r="H387" s="793" t="s">
        <v>42</v>
      </c>
      <c r="I387" s="794" t="s">
        <v>43</v>
      </c>
      <c r="J387" s="297"/>
      <c r="K387" s="261">
        <f>K391+K394+K397+K388</f>
        <v>520.61800000000005</v>
      </c>
      <c r="L387" s="261">
        <f t="shared" ref="L387" si="121">L391+L394+L397+L388</f>
        <v>0</v>
      </c>
      <c r="M387" s="261">
        <f>M391+M394+M397+M388</f>
        <v>520.61800000000005</v>
      </c>
      <c r="N387" s="193"/>
      <c r="O387" s="193"/>
    </row>
    <row r="388" spans="1:15" s="167" customFormat="1" ht="36" x14ac:dyDescent="0.35">
      <c r="A388" s="162"/>
      <c r="B388" s="676" t="s">
        <v>296</v>
      </c>
      <c r="C388" s="301" t="s">
        <v>443</v>
      </c>
      <c r="D388" s="297" t="s">
        <v>36</v>
      </c>
      <c r="E388" s="297" t="s">
        <v>69</v>
      </c>
      <c r="F388" s="792" t="s">
        <v>38</v>
      </c>
      <c r="G388" s="793" t="s">
        <v>29</v>
      </c>
      <c r="H388" s="793" t="s">
        <v>36</v>
      </c>
      <c r="I388" s="502" t="s">
        <v>43</v>
      </c>
      <c r="J388" s="128"/>
      <c r="K388" s="261">
        <f>K389</f>
        <v>65.7</v>
      </c>
      <c r="L388" s="261">
        <f t="shared" ref="L388:L389" si="122">L389</f>
        <v>0</v>
      </c>
      <c r="M388" s="261">
        <f>M389</f>
        <v>65.7</v>
      </c>
      <c r="N388" s="193"/>
      <c r="O388" s="193"/>
    </row>
    <row r="389" spans="1:15" s="167" customFormat="1" ht="54" x14ac:dyDescent="0.35">
      <c r="A389" s="162"/>
      <c r="B389" s="676" t="s">
        <v>401</v>
      </c>
      <c r="C389" s="301" t="s">
        <v>443</v>
      </c>
      <c r="D389" s="297" t="s">
        <v>36</v>
      </c>
      <c r="E389" s="297" t="s">
        <v>69</v>
      </c>
      <c r="F389" s="792" t="s">
        <v>38</v>
      </c>
      <c r="G389" s="793" t="s">
        <v>29</v>
      </c>
      <c r="H389" s="793" t="s">
        <v>36</v>
      </c>
      <c r="I389" s="502" t="s">
        <v>400</v>
      </c>
      <c r="J389" s="128"/>
      <c r="K389" s="261">
        <f>K390</f>
        <v>65.7</v>
      </c>
      <c r="L389" s="261">
        <f t="shared" si="122"/>
        <v>0</v>
      </c>
      <c r="M389" s="261">
        <f>M390</f>
        <v>65.7</v>
      </c>
      <c r="N389" s="193"/>
      <c r="O389" s="193"/>
    </row>
    <row r="390" spans="1:15" s="167" customFormat="1" ht="54" x14ac:dyDescent="0.35">
      <c r="A390" s="162"/>
      <c r="B390" s="676" t="s">
        <v>53</v>
      </c>
      <c r="C390" s="301" t="s">
        <v>443</v>
      </c>
      <c r="D390" s="297" t="s">
        <v>36</v>
      </c>
      <c r="E390" s="297" t="s">
        <v>69</v>
      </c>
      <c r="F390" s="792" t="s">
        <v>38</v>
      </c>
      <c r="G390" s="793" t="s">
        <v>29</v>
      </c>
      <c r="H390" s="793" t="s">
        <v>36</v>
      </c>
      <c r="I390" s="502" t="s">
        <v>400</v>
      </c>
      <c r="J390" s="128" t="s">
        <v>54</v>
      </c>
      <c r="K390" s="261">
        <v>65.7</v>
      </c>
      <c r="L390" s="69">
        <f>M390-K390</f>
        <v>0</v>
      </c>
      <c r="M390" s="261">
        <v>65.7</v>
      </c>
      <c r="N390" s="193"/>
      <c r="O390" s="193"/>
    </row>
    <row r="391" spans="1:15" s="167" customFormat="1" ht="36" customHeight="1" x14ac:dyDescent="0.35">
      <c r="A391" s="162"/>
      <c r="B391" s="612" t="s">
        <v>371</v>
      </c>
      <c r="C391" s="299" t="s">
        <v>443</v>
      </c>
      <c r="D391" s="297" t="s">
        <v>36</v>
      </c>
      <c r="E391" s="297" t="s">
        <v>69</v>
      </c>
      <c r="F391" s="792" t="s">
        <v>38</v>
      </c>
      <c r="G391" s="793" t="s">
        <v>29</v>
      </c>
      <c r="H391" s="793" t="s">
        <v>61</v>
      </c>
      <c r="I391" s="794" t="s">
        <v>43</v>
      </c>
      <c r="J391" s="297"/>
      <c r="K391" s="261">
        <f t="shared" ref="K391:M392" si="123">K392</f>
        <v>233.11800000000002</v>
      </c>
      <c r="L391" s="261">
        <f t="shared" si="123"/>
        <v>0</v>
      </c>
      <c r="M391" s="261">
        <f t="shared" si="123"/>
        <v>233.11800000000002</v>
      </c>
      <c r="N391" s="193"/>
      <c r="O391" s="193"/>
    </row>
    <row r="392" spans="1:15" s="167" customFormat="1" ht="54" customHeight="1" x14ac:dyDescent="0.35">
      <c r="A392" s="162"/>
      <c r="B392" s="676" t="s">
        <v>492</v>
      </c>
      <c r="C392" s="301" t="s">
        <v>443</v>
      </c>
      <c r="D392" s="297" t="s">
        <v>36</v>
      </c>
      <c r="E392" s="297" t="s">
        <v>69</v>
      </c>
      <c r="F392" s="792" t="s">
        <v>38</v>
      </c>
      <c r="G392" s="793" t="s">
        <v>29</v>
      </c>
      <c r="H392" s="793" t="s">
        <v>61</v>
      </c>
      <c r="I392" s="794" t="s">
        <v>103</v>
      </c>
      <c r="J392" s="297"/>
      <c r="K392" s="261">
        <f t="shared" si="123"/>
        <v>233.11800000000002</v>
      </c>
      <c r="L392" s="261">
        <f t="shared" si="123"/>
        <v>0</v>
      </c>
      <c r="M392" s="261">
        <f t="shared" si="123"/>
        <v>233.11800000000002</v>
      </c>
      <c r="N392" s="193"/>
      <c r="O392" s="193"/>
    </row>
    <row r="393" spans="1:15" s="167" customFormat="1" ht="54" customHeight="1" x14ac:dyDescent="0.35">
      <c r="A393" s="162"/>
      <c r="B393" s="676" t="s">
        <v>53</v>
      </c>
      <c r="C393" s="301" t="s">
        <v>443</v>
      </c>
      <c r="D393" s="297" t="s">
        <v>36</v>
      </c>
      <c r="E393" s="297" t="s">
        <v>69</v>
      </c>
      <c r="F393" s="792" t="s">
        <v>38</v>
      </c>
      <c r="G393" s="793" t="s">
        <v>29</v>
      </c>
      <c r="H393" s="793" t="s">
        <v>61</v>
      </c>
      <c r="I393" s="794" t="s">
        <v>103</v>
      </c>
      <c r="J393" s="297" t="s">
        <v>54</v>
      </c>
      <c r="K393" s="261">
        <f>231.3+1.818</f>
        <v>233.11800000000002</v>
      </c>
      <c r="L393" s="69">
        <f>M393-K393</f>
        <v>0</v>
      </c>
      <c r="M393" s="261">
        <f>231.3+1.818</f>
        <v>233.11800000000002</v>
      </c>
      <c r="N393" s="193"/>
      <c r="O393" s="193"/>
    </row>
    <row r="394" spans="1:15" s="167" customFormat="1" ht="36" customHeight="1" x14ac:dyDescent="0.35">
      <c r="A394" s="162"/>
      <c r="B394" s="676" t="s">
        <v>488</v>
      </c>
      <c r="C394" s="299" t="s">
        <v>443</v>
      </c>
      <c r="D394" s="297" t="s">
        <v>36</v>
      </c>
      <c r="E394" s="297" t="s">
        <v>69</v>
      </c>
      <c r="F394" s="792" t="s">
        <v>38</v>
      </c>
      <c r="G394" s="793" t="s">
        <v>29</v>
      </c>
      <c r="H394" s="793" t="s">
        <v>50</v>
      </c>
      <c r="I394" s="794" t="s">
        <v>43</v>
      </c>
      <c r="J394" s="297"/>
      <c r="K394" s="261">
        <f t="shared" ref="K394:M395" si="124">K395</f>
        <v>107</v>
      </c>
      <c r="L394" s="261">
        <f t="shared" si="124"/>
        <v>0</v>
      </c>
      <c r="M394" s="261">
        <f t="shared" si="124"/>
        <v>107</v>
      </c>
      <c r="N394" s="193"/>
      <c r="O394" s="193"/>
    </row>
    <row r="395" spans="1:15" s="167" customFormat="1" ht="18" customHeight="1" x14ac:dyDescent="0.35">
      <c r="A395" s="162"/>
      <c r="B395" s="676" t="s">
        <v>493</v>
      </c>
      <c r="C395" s="301" t="s">
        <v>443</v>
      </c>
      <c r="D395" s="297" t="s">
        <v>36</v>
      </c>
      <c r="E395" s="297" t="s">
        <v>69</v>
      </c>
      <c r="F395" s="792" t="s">
        <v>38</v>
      </c>
      <c r="G395" s="793" t="s">
        <v>29</v>
      </c>
      <c r="H395" s="793" t="s">
        <v>50</v>
      </c>
      <c r="I395" s="794" t="s">
        <v>487</v>
      </c>
      <c r="J395" s="297"/>
      <c r="K395" s="261">
        <f t="shared" si="124"/>
        <v>107</v>
      </c>
      <c r="L395" s="261">
        <f t="shared" si="124"/>
        <v>0</v>
      </c>
      <c r="M395" s="261">
        <f t="shared" si="124"/>
        <v>107</v>
      </c>
      <c r="N395" s="193"/>
      <c r="O395" s="193"/>
    </row>
    <row r="396" spans="1:15" s="167" customFormat="1" ht="54" customHeight="1" x14ac:dyDescent="0.35">
      <c r="A396" s="162"/>
      <c r="B396" s="676" t="s">
        <v>53</v>
      </c>
      <c r="C396" s="301" t="s">
        <v>443</v>
      </c>
      <c r="D396" s="297" t="s">
        <v>36</v>
      </c>
      <c r="E396" s="297" t="s">
        <v>69</v>
      </c>
      <c r="F396" s="792" t="s">
        <v>38</v>
      </c>
      <c r="G396" s="793" t="s">
        <v>29</v>
      </c>
      <c r="H396" s="793" t="s">
        <v>50</v>
      </c>
      <c r="I396" s="794" t="s">
        <v>487</v>
      </c>
      <c r="J396" s="297" t="s">
        <v>54</v>
      </c>
      <c r="K396" s="261">
        <v>107</v>
      </c>
      <c r="L396" s="69">
        <f>M396-K396</f>
        <v>0</v>
      </c>
      <c r="M396" s="261">
        <v>107</v>
      </c>
      <c r="N396" s="193"/>
      <c r="O396" s="193"/>
    </row>
    <row r="397" spans="1:15" s="167" customFormat="1" ht="36" customHeight="1" x14ac:dyDescent="0.35">
      <c r="A397" s="162"/>
      <c r="B397" s="676" t="s">
        <v>491</v>
      </c>
      <c r="C397" s="301" t="s">
        <v>443</v>
      </c>
      <c r="D397" s="297" t="s">
        <v>36</v>
      </c>
      <c r="E397" s="297" t="s">
        <v>69</v>
      </c>
      <c r="F397" s="792" t="s">
        <v>38</v>
      </c>
      <c r="G397" s="793" t="s">
        <v>29</v>
      </c>
      <c r="H397" s="793" t="s">
        <v>63</v>
      </c>
      <c r="I397" s="502" t="s">
        <v>43</v>
      </c>
      <c r="J397" s="128"/>
      <c r="K397" s="261">
        <f t="shared" ref="K397:M398" si="125">K398</f>
        <v>114.8</v>
      </c>
      <c r="L397" s="261">
        <f t="shared" si="125"/>
        <v>0</v>
      </c>
      <c r="M397" s="261">
        <f t="shared" si="125"/>
        <v>114.8</v>
      </c>
      <c r="N397" s="193"/>
      <c r="O397" s="193"/>
    </row>
    <row r="398" spans="1:15" s="167" customFormat="1" ht="36" customHeight="1" x14ac:dyDescent="0.35">
      <c r="A398" s="162"/>
      <c r="B398" s="676" t="s">
        <v>125</v>
      </c>
      <c r="C398" s="301" t="s">
        <v>443</v>
      </c>
      <c r="D398" s="297" t="s">
        <v>36</v>
      </c>
      <c r="E398" s="297" t="s">
        <v>69</v>
      </c>
      <c r="F398" s="792" t="s">
        <v>38</v>
      </c>
      <c r="G398" s="793" t="s">
        <v>29</v>
      </c>
      <c r="H398" s="793" t="s">
        <v>63</v>
      </c>
      <c r="I398" s="502" t="s">
        <v>88</v>
      </c>
      <c r="J398" s="128"/>
      <c r="K398" s="261">
        <f t="shared" si="125"/>
        <v>114.8</v>
      </c>
      <c r="L398" s="261">
        <f t="shared" si="125"/>
        <v>0</v>
      </c>
      <c r="M398" s="261">
        <f t="shared" si="125"/>
        <v>114.8</v>
      </c>
      <c r="N398" s="193"/>
      <c r="O398" s="193"/>
    </row>
    <row r="399" spans="1:15" s="167" customFormat="1" ht="54" customHeight="1" x14ac:dyDescent="0.35">
      <c r="A399" s="162"/>
      <c r="B399" s="676" t="s">
        <v>53</v>
      </c>
      <c r="C399" s="301" t="s">
        <v>443</v>
      </c>
      <c r="D399" s="297" t="s">
        <v>36</v>
      </c>
      <c r="E399" s="297" t="s">
        <v>69</v>
      </c>
      <c r="F399" s="792" t="s">
        <v>38</v>
      </c>
      <c r="G399" s="793" t="s">
        <v>29</v>
      </c>
      <c r="H399" s="793" t="s">
        <v>63</v>
      </c>
      <c r="I399" s="502" t="s">
        <v>88</v>
      </c>
      <c r="J399" s="128" t="s">
        <v>54</v>
      </c>
      <c r="K399" s="261">
        <v>114.8</v>
      </c>
      <c r="L399" s="69">
        <f>M399-K399</f>
        <v>0</v>
      </c>
      <c r="M399" s="261">
        <v>114.8</v>
      </c>
      <c r="N399" s="193"/>
      <c r="O399" s="193"/>
    </row>
    <row r="400" spans="1:15" s="168" customFormat="1" ht="18" customHeight="1" x14ac:dyDescent="0.35">
      <c r="A400" s="56"/>
      <c r="B400" s="610" t="s">
        <v>177</v>
      </c>
      <c r="C400" s="68" t="s">
        <v>443</v>
      </c>
      <c r="D400" s="55" t="s">
        <v>221</v>
      </c>
      <c r="E400" s="55"/>
      <c r="F400" s="799"/>
      <c r="G400" s="800"/>
      <c r="H400" s="800"/>
      <c r="I400" s="801"/>
      <c r="J400" s="55"/>
      <c r="K400" s="69">
        <f>K401+K422+K503+K477+K497</f>
        <v>1421541.8034300001</v>
      </c>
      <c r="L400" s="69">
        <f>L401+L422+L503+L477+L497</f>
        <v>9037.9000000000069</v>
      </c>
      <c r="M400" s="69">
        <f>M401+M422+M503+M477+M497</f>
        <v>1430579.7034299998</v>
      </c>
      <c r="N400" s="194"/>
      <c r="O400" s="194"/>
    </row>
    <row r="401" spans="1:14" s="167" customFormat="1" ht="18" customHeight="1" x14ac:dyDescent="0.35">
      <c r="A401" s="56"/>
      <c r="B401" s="610" t="s">
        <v>179</v>
      </c>
      <c r="C401" s="68" t="s">
        <v>443</v>
      </c>
      <c r="D401" s="55" t="s">
        <v>221</v>
      </c>
      <c r="E401" s="55" t="s">
        <v>36</v>
      </c>
      <c r="F401" s="799"/>
      <c r="G401" s="800"/>
      <c r="H401" s="800"/>
      <c r="I401" s="801"/>
      <c r="J401" s="55"/>
      <c r="K401" s="69">
        <f>K402+K417</f>
        <v>433246.39999999997</v>
      </c>
      <c r="L401" s="69">
        <f t="shared" ref="L401" si="126">L402+L417</f>
        <v>300</v>
      </c>
      <c r="M401" s="69">
        <f>M402+M417</f>
        <v>433546.39999999997</v>
      </c>
    </row>
    <row r="402" spans="1:14" s="167" customFormat="1" ht="54" customHeight="1" x14ac:dyDescent="0.35">
      <c r="A402" s="56"/>
      <c r="B402" s="610" t="s">
        <v>203</v>
      </c>
      <c r="C402" s="68" t="s">
        <v>443</v>
      </c>
      <c r="D402" s="55" t="s">
        <v>221</v>
      </c>
      <c r="E402" s="55" t="s">
        <v>36</v>
      </c>
      <c r="F402" s="799" t="s">
        <v>38</v>
      </c>
      <c r="G402" s="800" t="s">
        <v>41</v>
      </c>
      <c r="H402" s="800" t="s">
        <v>42</v>
      </c>
      <c r="I402" s="801" t="s">
        <v>43</v>
      </c>
      <c r="J402" s="55"/>
      <c r="K402" s="69">
        <f t="shared" ref="K402:M403" si="127">K403</f>
        <v>433190.8</v>
      </c>
      <c r="L402" s="69">
        <f t="shared" si="127"/>
        <v>300</v>
      </c>
      <c r="M402" s="69">
        <f t="shared" si="127"/>
        <v>433490.8</v>
      </c>
    </row>
    <row r="403" spans="1:14" s="167" customFormat="1" ht="36" customHeight="1" x14ac:dyDescent="0.35">
      <c r="A403" s="56"/>
      <c r="B403" s="610" t="s">
        <v>204</v>
      </c>
      <c r="C403" s="68" t="s">
        <v>443</v>
      </c>
      <c r="D403" s="55" t="s">
        <v>221</v>
      </c>
      <c r="E403" s="55" t="s">
        <v>36</v>
      </c>
      <c r="F403" s="799" t="s">
        <v>38</v>
      </c>
      <c r="G403" s="800" t="s">
        <v>44</v>
      </c>
      <c r="H403" s="800" t="s">
        <v>42</v>
      </c>
      <c r="I403" s="801" t="s">
        <v>43</v>
      </c>
      <c r="J403" s="55"/>
      <c r="K403" s="69">
        <f t="shared" si="127"/>
        <v>433190.8</v>
      </c>
      <c r="L403" s="69">
        <f t="shared" si="127"/>
        <v>300</v>
      </c>
      <c r="M403" s="69">
        <f t="shared" si="127"/>
        <v>433490.8</v>
      </c>
    </row>
    <row r="404" spans="1:14" s="167" customFormat="1" ht="36" customHeight="1" x14ac:dyDescent="0.35">
      <c r="A404" s="56"/>
      <c r="B404" s="610" t="s">
        <v>281</v>
      </c>
      <c r="C404" s="68" t="s">
        <v>443</v>
      </c>
      <c r="D404" s="55" t="s">
        <v>221</v>
      </c>
      <c r="E404" s="55" t="s">
        <v>36</v>
      </c>
      <c r="F404" s="799" t="s">
        <v>38</v>
      </c>
      <c r="G404" s="800" t="s">
        <v>44</v>
      </c>
      <c r="H404" s="800" t="s">
        <v>36</v>
      </c>
      <c r="I404" s="801" t="s">
        <v>43</v>
      </c>
      <c r="J404" s="55"/>
      <c r="K404" s="69">
        <f>K413+K415+K405+K409+K407+K411</f>
        <v>433190.8</v>
      </c>
      <c r="L404" s="69">
        <f t="shared" ref="L404" si="128">L413+L415+L405+L409+L407+L411</f>
        <v>300</v>
      </c>
      <c r="M404" s="69">
        <f>M413+M415+M405+M409+M407+M411</f>
        <v>433490.8</v>
      </c>
      <c r="N404" s="226"/>
    </row>
    <row r="405" spans="1:14" s="163" customFormat="1" ht="36" customHeight="1" x14ac:dyDescent="0.35">
      <c r="A405" s="56"/>
      <c r="B405" s="642" t="s">
        <v>484</v>
      </c>
      <c r="C405" s="68" t="s">
        <v>443</v>
      </c>
      <c r="D405" s="55" t="s">
        <v>221</v>
      </c>
      <c r="E405" s="55" t="s">
        <v>36</v>
      </c>
      <c r="F405" s="799" t="s">
        <v>38</v>
      </c>
      <c r="G405" s="800" t="s">
        <v>44</v>
      </c>
      <c r="H405" s="800" t="s">
        <v>36</v>
      </c>
      <c r="I405" s="801" t="s">
        <v>89</v>
      </c>
      <c r="J405" s="55"/>
      <c r="K405" s="69">
        <f>K406</f>
        <v>114625</v>
      </c>
      <c r="L405" s="69">
        <f t="shared" ref="L405" si="129">L406</f>
        <v>0</v>
      </c>
      <c r="M405" s="69">
        <f>M406</f>
        <v>114625</v>
      </c>
      <c r="N405" s="227"/>
    </row>
    <row r="406" spans="1:14" s="163" customFormat="1" ht="54" customHeight="1" x14ac:dyDescent="0.35">
      <c r="A406" s="56"/>
      <c r="B406" s="610" t="s">
        <v>74</v>
      </c>
      <c r="C406" s="68" t="s">
        <v>443</v>
      </c>
      <c r="D406" s="55" t="s">
        <v>221</v>
      </c>
      <c r="E406" s="55" t="s">
        <v>36</v>
      </c>
      <c r="F406" s="799" t="s">
        <v>38</v>
      </c>
      <c r="G406" s="800" t="s">
        <v>44</v>
      </c>
      <c r="H406" s="800" t="s">
        <v>36</v>
      </c>
      <c r="I406" s="801" t="s">
        <v>89</v>
      </c>
      <c r="J406" s="55" t="s">
        <v>75</v>
      </c>
      <c r="K406" s="69">
        <v>114625</v>
      </c>
      <c r="L406" s="69">
        <f>M406-K406</f>
        <v>0</v>
      </c>
      <c r="M406" s="69">
        <v>114625</v>
      </c>
      <c r="N406" s="227"/>
    </row>
    <row r="407" spans="1:14" s="163" customFormat="1" ht="18" customHeight="1" x14ac:dyDescent="0.35">
      <c r="A407" s="56"/>
      <c r="B407" s="610" t="s">
        <v>485</v>
      </c>
      <c r="C407" s="68" t="s">
        <v>443</v>
      </c>
      <c r="D407" s="55" t="s">
        <v>221</v>
      </c>
      <c r="E407" s="55" t="s">
        <v>36</v>
      </c>
      <c r="F407" s="799" t="s">
        <v>38</v>
      </c>
      <c r="G407" s="800" t="s">
        <v>44</v>
      </c>
      <c r="H407" s="800" t="s">
        <v>36</v>
      </c>
      <c r="I407" s="801" t="s">
        <v>402</v>
      </c>
      <c r="J407" s="55"/>
      <c r="K407" s="69">
        <f>K408</f>
        <v>8013.8</v>
      </c>
      <c r="L407" s="69">
        <f t="shared" ref="L407" si="130">L408</f>
        <v>0</v>
      </c>
      <c r="M407" s="69">
        <f>M408</f>
        <v>8013.8</v>
      </c>
      <c r="N407" s="227"/>
    </row>
    <row r="408" spans="1:14" s="163" customFormat="1" ht="54" customHeight="1" x14ac:dyDescent="0.35">
      <c r="A408" s="56"/>
      <c r="B408" s="610" t="s">
        <v>74</v>
      </c>
      <c r="C408" s="68" t="s">
        <v>443</v>
      </c>
      <c r="D408" s="55" t="s">
        <v>221</v>
      </c>
      <c r="E408" s="55" t="s">
        <v>36</v>
      </c>
      <c r="F408" s="799" t="s">
        <v>38</v>
      </c>
      <c r="G408" s="800" t="s">
        <v>44</v>
      </c>
      <c r="H408" s="800" t="s">
        <v>36</v>
      </c>
      <c r="I408" s="801" t="s">
        <v>402</v>
      </c>
      <c r="J408" s="55" t="s">
        <v>75</v>
      </c>
      <c r="K408" s="69">
        <f>6544.2+422+922+125.6</f>
        <v>8013.8</v>
      </c>
      <c r="L408" s="69">
        <f>M408-K408</f>
        <v>0</v>
      </c>
      <c r="M408" s="69">
        <f>6544.2+422+922+125.6</f>
        <v>8013.8</v>
      </c>
      <c r="N408" s="227"/>
    </row>
    <row r="409" spans="1:14" s="167" customFormat="1" ht="54" customHeight="1" x14ac:dyDescent="0.35">
      <c r="A409" s="56"/>
      <c r="B409" s="610" t="s">
        <v>205</v>
      </c>
      <c r="C409" s="68" t="s">
        <v>443</v>
      </c>
      <c r="D409" s="55" t="s">
        <v>221</v>
      </c>
      <c r="E409" s="55" t="s">
        <v>36</v>
      </c>
      <c r="F409" s="799" t="s">
        <v>38</v>
      </c>
      <c r="G409" s="800" t="s">
        <v>44</v>
      </c>
      <c r="H409" s="800" t="s">
        <v>36</v>
      </c>
      <c r="I409" s="801" t="s">
        <v>287</v>
      </c>
      <c r="J409" s="55"/>
      <c r="K409" s="69">
        <f>K410</f>
        <v>33905.5</v>
      </c>
      <c r="L409" s="69">
        <f t="shared" ref="L409" si="131">L410</f>
        <v>0</v>
      </c>
      <c r="M409" s="69">
        <f>M410</f>
        <v>33905.5</v>
      </c>
      <c r="N409" s="226"/>
    </row>
    <row r="410" spans="1:14" s="167" customFormat="1" ht="54" customHeight="1" x14ac:dyDescent="0.35">
      <c r="A410" s="56"/>
      <c r="B410" s="610" t="s">
        <v>74</v>
      </c>
      <c r="C410" s="68" t="s">
        <v>443</v>
      </c>
      <c r="D410" s="55" t="s">
        <v>221</v>
      </c>
      <c r="E410" s="55" t="s">
        <v>36</v>
      </c>
      <c r="F410" s="799" t="s">
        <v>38</v>
      </c>
      <c r="G410" s="800" t="s">
        <v>44</v>
      </c>
      <c r="H410" s="800" t="s">
        <v>36</v>
      </c>
      <c r="I410" s="801" t="s">
        <v>287</v>
      </c>
      <c r="J410" s="55" t="s">
        <v>75</v>
      </c>
      <c r="K410" s="69">
        <f>32079.7+1783.2+25+17.6</f>
        <v>33905.5</v>
      </c>
      <c r="L410" s="69">
        <f>M410-K410</f>
        <v>0</v>
      </c>
      <c r="M410" s="69">
        <f>32079.7+1783.2+25+17.6</f>
        <v>33905.5</v>
      </c>
      <c r="N410" s="226"/>
    </row>
    <row r="411" spans="1:14" s="167" customFormat="1" ht="36" customHeight="1" x14ac:dyDescent="0.35">
      <c r="A411" s="56"/>
      <c r="B411" s="610" t="s">
        <v>206</v>
      </c>
      <c r="C411" s="68" t="s">
        <v>443</v>
      </c>
      <c r="D411" s="55" t="s">
        <v>221</v>
      </c>
      <c r="E411" s="55" t="s">
        <v>36</v>
      </c>
      <c r="F411" s="799" t="s">
        <v>38</v>
      </c>
      <c r="G411" s="800" t="s">
        <v>44</v>
      </c>
      <c r="H411" s="800" t="s">
        <v>36</v>
      </c>
      <c r="I411" s="801" t="s">
        <v>288</v>
      </c>
      <c r="J411" s="55"/>
      <c r="K411" s="69">
        <f>K412</f>
        <v>615.70000000000005</v>
      </c>
      <c r="L411" s="69">
        <f t="shared" ref="L411" si="132">L412</f>
        <v>300</v>
      </c>
      <c r="M411" s="69">
        <f>M412</f>
        <v>915.7</v>
      </c>
      <c r="N411" s="226"/>
    </row>
    <row r="412" spans="1:14" s="163" customFormat="1" ht="54" customHeight="1" x14ac:dyDescent="0.35">
      <c r="A412" s="56"/>
      <c r="B412" s="610" t="s">
        <v>74</v>
      </c>
      <c r="C412" s="68" t="s">
        <v>443</v>
      </c>
      <c r="D412" s="55" t="s">
        <v>221</v>
      </c>
      <c r="E412" s="55" t="s">
        <v>36</v>
      </c>
      <c r="F412" s="799" t="s">
        <v>38</v>
      </c>
      <c r="G412" s="800" t="s">
        <v>44</v>
      </c>
      <c r="H412" s="800" t="s">
        <v>36</v>
      </c>
      <c r="I412" s="801" t="s">
        <v>288</v>
      </c>
      <c r="J412" s="55" t="s">
        <v>75</v>
      </c>
      <c r="K412" s="69">
        <v>615.70000000000005</v>
      </c>
      <c r="L412" s="69">
        <f>M412-K412</f>
        <v>300</v>
      </c>
      <c r="M412" s="69">
        <f>615.7+300</f>
        <v>915.7</v>
      </c>
      <c r="N412" s="227"/>
    </row>
    <row r="413" spans="1:14" s="167" customFormat="1" ht="180" customHeight="1" x14ac:dyDescent="0.35">
      <c r="A413" s="56"/>
      <c r="B413" s="610" t="s">
        <v>282</v>
      </c>
      <c r="C413" s="68" t="s">
        <v>443</v>
      </c>
      <c r="D413" s="55" t="s">
        <v>221</v>
      </c>
      <c r="E413" s="55" t="s">
        <v>36</v>
      </c>
      <c r="F413" s="799" t="s">
        <v>38</v>
      </c>
      <c r="G413" s="800" t="s">
        <v>44</v>
      </c>
      <c r="H413" s="800" t="s">
        <v>36</v>
      </c>
      <c r="I413" s="801" t="s">
        <v>283</v>
      </c>
      <c r="J413" s="55"/>
      <c r="K413" s="69">
        <f>K414</f>
        <v>630.6</v>
      </c>
      <c r="L413" s="69">
        <f t="shared" ref="L413" si="133">L414</f>
        <v>0</v>
      </c>
      <c r="M413" s="69">
        <f>M414</f>
        <v>630.6</v>
      </c>
      <c r="N413" s="226"/>
    </row>
    <row r="414" spans="1:14" s="167" customFormat="1" ht="54" customHeight="1" x14ac:dyDescent="0.35">
      <c r="A414" s="56"/>
      <c r="B414" s="610" t="s">
        <v>74</v>
      </c>
      <c r="C414" s="68" t="s">
        <v>443</v>
      </c>
      <c r="D414" s="55" t="s">
        <v>221</v>
      </c>
      <c r="E414" s="55" t="s">
        <v>36</v>
      </c>
      <c r="F414" s="799" t="s">
        <v>38</v>
      </c>
      <c r="G414" s="800" t="s">
        <v>44</v>
      </c>
      <c r="H414" s="800" t="s">
        <v>36</v>
      </c>
      <c r="I414" s="801" t="s">
        <v>283</v>
      </c>
      <c r="J414" s="55" t="s">
        <v>75</v>
      </c>
      <c r="K414" s="69">
        <v>630.6</v>
      </c>
      <c r="L414" s="69">
        <f>M414-K414</f>
        <v>0</v>
      </c>
      <c r="M414" s="69">
        <v>630.6</v>
      </c>
    </row>
    <row r="415" spans="1:14" s="167" customFormat="1" ht="108" customHeight="1" x14ac:dyDescent="0.35">
      <c r="A415" s="56"/>
      <c r="B415" s="610" t="s">
        <v>365</v>
      </c>
      <c r="C415" s="68" t="s">
        <v>443</v>
      </c>
      <c r="D415" s="55" t="s">
        <v>221</v>
      </c>
      <c r="E415" s="55" t="s">
        <v>36</v>
      </c>
      <c r="F415" s="799" t="s">
        <v>38</v>
      </c>
      <c r="G415" s="800" t="s">
        <v>44</v>
      </c>
      <c r="H415" s="800" t="s">
        <v>36</v>
      </c>
      <c r="I415" s="801" t="s">
        <v>284</v>
      </c>
      <c r="J415" s="55"/>
      <c r="K415" s="69">
        <f>K416</f>
        <v>275400.2</v>
      </c>
      <c r="L415" s="69">
        <f t="shared" ref="L415" si="134">L416</f>
        <v>0</v>
      </c>
      <c r="M415" s="69">
        <f>M416</f>
        <v>275400.2</v>
      </c>
    </row>
    <row r="416" spans="1:14" s="167" customFormat="1" ht="54" customHeight="1" x14ac:dyDescent="0.35">
      <c r="A416" s="56"/>
      <c r="B416" s="610" t="s">
        <v>74</v>
      </c>
      <c r="C416" s="68" t="s">
        <v>443</v>
      </c>
      <c r="D416" s="55" t="s">
        <v>221</v>
      </c>
      <c r="E416" s="55" t="s">
        <v>36</v>
      </c>
      <c r="F416" s="799" t="s">
        <v>38</v>
      </c>
      <c r="G416" s="800" t="s">
        <v>44</v>
      </c>
      <c r="H416" s="800" t="s">
        <v>36</v>
      </c>
      <c r="I416" s="801" t="s">
        <v>284</v>
      </c>
      <c r="J416" s="55" t="s">
        <v>75</v>
      </c>
      <c r="K416" s="69">
        <v>275400.2</v>
      </c>
      <c r="L416" s="69">
        <f>M416-K416</f>
        <v>0</v>
      </c>
      <c r="M416" s="69">
        <v>275400.2</v>
      </c>
    </row>
    <row r="417" spans="1:13" s="167" customFormat="1" ht="54" customHeight="1" x14ac:dyDescent="0.35">
      <c r="A417" s="56"/>
      <c r="B417" s="610" t="s">
        <v>230</v>
      </c>
      <c r="C417" s="68" t="s">
        <v>443</v>
      </c>
      <c r="D417" s="55" t="s">
        <v>221</v>
      </c>
      <c r="E417" s="55" t="s">
        <v>36</v>
      </c>
      <c r="F417" s="799" t="s">
        <v>231</v>
      </c>
      <c r="G417" s="800" t="s">
        <v>41</v>
      </c>
      <c r="H417" s="800" t="s">
        <v>42</v>
      </c>
      <c r="I417" s="801" t="s">
        <v>43</v>
      </c>
      <c r="J417" s="55"/>
      <c r="K417" s="69">
        <f t="shared" ref="K417:M420" si="135">K418</f>
        <v>55.6</v>
      </c>
      <c r="L417" s="69">
        <f t="shared" si="135"/>
        <v>0</v>
      </c>
      <c r="M417" s="69">
        <f t="shared" si="135"/>
        <v>55.6</v>
      </c>
    </row>
    <row r="418" spans="1:13" s="167" customFormat="1" ht="36" customHeight="1" x14ac:dyDescent="0.35">
      <c r="A418" s="56"/>
      <c r="B418" s="610" t="s">
        <v>359</v>
      </c>
      <c r="C418" s="68" t="s">
        <v>443</v>
      </c>
      <c r="D418" s="55" t="s">
        <v>221</v>
      </c>
      <c r="E418" s="55" t="s">
        <v>36</v>
      </c>
      <c r="F418" s="799" t="s">
        <v>231</v>
      </c>
      <c r="G418" s="800" t="s">
        <v>44</v>
      </c>
      <c r="H418" s="800" t="s">
        <v>42</v>
      </c>
      <c r="I418" s="801" t="s">
        <v>43</v>
      </c>
      <c r="J418" s="55"/>
      <c r="K418" s="69">
        <f t="shared" si="135"/>
        <v>55.6</v>
      </c>
      <c r="L418" s="69">
        <f t="shared" si="135"/>
        <v>0</v>
      </c>
      <c r="M418" s="69">
        <f t="shared" si="135"/>
        <v>55.6</v>
      </c>
    </row>
    <row r="419" spans="1:13" s="167" customFormat="1" ht="144" x14ac:dyDescent="0.35">
      <c r="A419" s="56"/>
      <c r="B419" s="610" t="s">
        <v>619</v>
      </c>
      <c r="C419" s="68" t="s">
        <v>443</v>
      </c>
      <c r="D419" s="55" t="s">
        <v>221</v>
      </c>
      <c r="E419" s="55" t="s">
        <v>36</v>
      </c>
      <c r="F419" s="799" t="s">
        <v>231</v>
      </c>
      <c r="G419" s="800" t="s">
        <v>44</v>
      </c>
      <c r="H419" s="800" t="s">
        <v>36</v>
      </c>
      <c r="I419" s="801" t="s">
        <v>43</v>
      </c>
      <c r="J419" s="55"/>
      <c r="K419" s="69">
        <f>K420</f>
        <v>55.6</v>
      </c>
      <c r="L419" s="69">
        <f t="shared" si="135"/>
        <v>0</v>
      </c>
      <c r="M419" s="69">
        <f>M420</f>
        <v>55.6</v>
      </c>
    </row>
    <row r="420" spans="1:13" s="167" customFormat="1" ht="36" customHeight="1" x14ac:dyDescent="0.35">
      <c r="A420" s="56"/>
      <c r="B420" s="610" t="s">
        <v>232</v>
      </c>
      <c r="C420" s="68" t="s">
        <v>443</v>
      </c>
      <c r="D420" s="55" t="s">
        <v>221</v>
      </c>
      <c r="E420" s="55" t="s">
        <v>36</v>
      </c>
      <c r="F420" s="799" t="s">
        <v>231</v>
      </c>
      <c r="G420" s="800" t="s">
        <v>44</v>
      </c>
      <c r="H420" s="800" t="s">
        <v>36</v>
      </c>
      <c r="I420" s="801" t="s">
        <v>294</v>
      </c>
      <c r="J420" s="55"/>
      <c r="K420" s="69">
        <f t="shared" si="135"/>
        <v>55.6</v>
      </c>
      <c r="L420" s="69">
        <f t="shared" si="135"/>
        <v>0</v>
      </c>
      <c r="M420" s="69">
        <f t="shared" si="135"/>
        <v>55.6</v>
      </c>
    </row>
    <row r="421" spans="1:13" s="167" customFormat="1" ht="54" customHeight="1" x14ac:dyDescent="0.35">
      <c r="A421" s="56"/>
      <c r="B421" s="610" t="s">
        <v>74</v>
      </c>
      <c r="C421" s="68" t="s">
        <v>443</v>
      </c>
      <c r="D421" s="55" t="s">
        <v>221</v>
      </c>
      <c r="E421" s="55" t="s">
        <v>36</v>
      </c>
      <c r="F421" s="799" t="s">
        <v>231</v>
      </c>
      <c r="G421" s="800" t="s">
        <v>44</v>
      </c>
      <c r="H421" s="800" t="s">
        <v>36</v>
      </c>
      <c r="I421" s="801" t="s">
        <v>294</v>
      </c>
      <c r="J421" s="55" t="s">
        <v>75</v>
      </c>
      <c r="K421" s="69">
        <v>55.6</v>
      </c>
      <c r="L421" s="69">
        <f>M421-K421</f>
        <v>0</v>
      </c>
      <c r="M421" s="69">
        <v>55.6</v>
      </c>
    </row>
    <row r="422" spans="1:13" s="167" customFormat="1" ht="18" customHeight="1" x14ac:dyDescent="0.35">
      <c r="A422" s="56"/>
      <c r="B422" s="610" t="s">
        <v>181</v>
      </c>
      <c r="C422" s="68" t="s">
        <v>443</v>
      </c>
      <c r="D422" s="55" t="s">
        <v>221</v>
      </c>
      <c r="E422" s="55" t="s">
        <v>38</v>
      </c>
      <c r="F422" s="799"/>
      <c r="G422" s="800"/>
      <c r="H422" s="800"/>
      <c r="I422" s="801"/>
      <c r="J422" s="55"/>
      <c r="K422" s="69">
        <f>K423</f>
        <v>824697.15343000006</v>
      </c>
      <c r="L422" s="69">
        <f t="shared" ref="L422" si="136">L423</f>
        <v>4360.5000000000036</v>
      </c>
      <c r="M422" s="69">
        <f>M423</f>
        <v>829057.65342999995</v>
      </c>
    </row>
    <row r="423" spans="1:13" s="167" customFormat="1" ht="54" customHeight="1" x14ac:dyDescent="0.35">
      <c r="A423" s="56"/>
      <c r="B423" s="610" t="s">
        <v>203</v>
      </c>
      <c r="C423" s="68" t="s">
        <v>443</v>
      </c>
      <c r="D423" s="55" t="s">
        <v>221</v>
      </c>
      <c r="E423" s="55" t="s">
        <v>38</v>
      </c>
      <c r="F423" s="799" t="s">
        <v>38</v>
      </c>
      <c r="G423" s="800" t="s">
        <v>41</v>
      </c>
      <c r="H423" s="800" t="s">
        <v>42</v>
      </c>
      <c r="I423" s="801" t="s">
        <v>43</v>
      </c>
      <c r="J423" s="55"/>
      <c r="K423" s="69">
        <f>K424+K473</f>
        <v>824697.15343000006</v>
      </c>
      <c r="L423" s="69">
        <f>L424+L473</f>
        <v>4360.5000000000036</v>
      </c>
      <c r="M423" s="69">
        <f>M424+M473</f>
        <v>829057.65342999995</v>
      </c>
    </row>
    <row r="424" spans="1:13" s="167" customFormat="1" ht="36" customHeight="1" x14ac:dyDescent="0.35">
      <c r="A424" s="56"/>
      <c r="B424" s="610" t="s">
        <v>204</v>
      </c>
      <c r="C424" s="68" t="s">
        <v>443</v>
      </c>
      <c r="D424" s="55" t="s">
        <v>221</v>
      </c>
      <c r="E424" s="55" t="s">
        <v>38</v>
      </c>
      <c r="F424" s="799" t="s">
        <v>38</v>
      </c>
      <c r="G424" s="800" t="s">
        <v>44</v>
      </c>
      <c r="H424" s="800" t="s">
        <v>42</v>
      </c>
      <c r="I424" s="801" t="s">
        <v>43</v>
      </c>
      <c r="J424" s="55"/>
      <c r="K424" s="69">
        <f>K425+K469</f>
        <v>822318.05343000009</v>
      </c>
      <c r="L424" s="69">
        <f>L425+L469</f>
        <v>4360.5000000000036</v>
      </c>
      <c r="M424" s="69">
        <f>M425+M469</f>
        <v>826678.55342999997</v>
      </c>
    </row>
    <row r="425" spans="1:13" s="167" customFormat="1" ht="18" customHeight="1" x14ac:dyDescent="0.35">
      <c r="A425" s="56"/>
      <c r="B425" s="610" t="s">
        <v>286</v>
      </c>
      <c r="C425" s="68" t="s">
        <v>443</v>
      </c>
      <c r="D425" s="55" t="s">
        <v>221</v>
      </c>
      <c r="E425" s="55" t="s">
        <v>38</v>
      </c>
      <c r="F425" s="799" t="s">
        <v>38</v>
      </c>
      <c r="G425" s="800" t="s">
        <v>44</v>
      </c>
      <c r="H425" s="800" t="s">
        <v>38</v>
      </c>
      <c r="I425" s="801" t="s">
        <v>43</v>
      </c>
      <c r="J425" s="55"/>
      <c r="K425" s="69">
        <f>K434+K437+K442+K446+K450+K426+K431+K457+K460+K440+K465+K455+K463</f>
        <v>816572.15343000006</v>
      </c>
      <c r="L425" s="69">
        <f>L434+L437+L442+L446+L450+L426+L431+L457+L460+L440+L465+L455+L463+L453</f>
        <v>4360.5000000000036</v>
      </c>
      <c r="M425" s="69">
        <f>M434+M437+M442+M446+M450+M426+M431+M457+M460+M440+M465+M455+M463+M453</f>
        <v>820932.65342999995</v>
      </c>
    </row>
    <row r="426" spans="1:13" s="163" customFormat="1" ht="36" customHeight="1" x14ac:dyDescent="0.35">
      <c r="A426" s="56"/>
      <c r="B426" s="642" t="s">
        <v>484</v>
      </c>
      <c r="C426" s="68" t="s">
        <v>443</v>
      </c>
      <c r="D426" s="55" t="s">
        <v>221</v>
      </c>
      <c r="E426" s="55" t="s">
        <v>38</v>
      </c>
      <c r="F426" s="799" t="s">
        <v>38</v>
      </c>
      <c r="G426" s="800" t="s">
        <v>44</v>
      </c>
      <c r="H426" s="800" t="s">
        <v>38</v>
      </c>
      <c r="I426" s="801" t="s">
        <v>89</v>
      </c>
      <c r="J426" s="55"/>
      <c r="K426" s="69">
        <f>K429+K430+K428+K427</f>
        <v>82514.032999999996</v>
      </c>
      <c r="L426" s="69">
        <f t="shared" ref="L426" si="137">L429+L430+L428+L427</f>
        <v>219.00000000000512</v>
      </c>
      <c r="M426" s="69">
        <f>M429+M430+M428+M427</f>
        <v>82733.032999999981</v>
      </c>
    </row>
    <row r="427" spans="1:13" s="163" customFormat="1" ht="108" customHeight="1" x14ac:dyDescent="0.35">
      <c r="A427" s="56"/>
      <c r="B427" s="610" t="s">
        <v>48</v>
      </c>
      <c r="C427" s="68" t="s">
        <v>443</v>
      </c>
      <c r="D427" s="55" t="s">
        <v>221</v>
      </c>
      <c r="E427" s="55" t="s">
        <v>38</v>
      </c>
      <c r="F427" s="799" t="s">
        <v>38</v>
      </c>
      <c r="G427" s="800" t="s">
        <v>44</v>
      </c>
      <c r="H427" s="800" t="s">
        <v>38</v>
      </c>
      <c r="I427" s="801" t="s">
        <v>89</v>
      </c>
      <c r="J427" s="55" t="s">
        <v>49</v>
      </c>
      <c r="K427" s="69">
        <f>451</f>
        <v>451</v>
      </c>
      <c r="L427" s="69">
        <f>M427-K427</f>
        <v>0</v>
      </c>
      <c r="M427" s="69">
        <f>451</f>
        <v>451</v>
      </c>
    </row>
    <row r="428" spans="1:13" s="163" customFormat="1" ht="54" customHeight="1" x14ac:dyDescent="0.35">
      <c r="A428" s="56"/>
      <c r="B428" s="610" t="s">
        <v>53</v>
      </c>
      <c r="C428" s="68" t="s">
        <v>443</v>
      </c>
      <c r="D428" s="55" t="s">
        <v>221</v>
      </c>
      <c r="E428" s="55" t="s">
        <v>38</v>
      </c>
      <c r="F428" s="799" t="s">
        <v>38</v>
      </c>
      <c r="G428" s="800" t="s">
        <v>44</v>
      </c>
      <c r="H428" s="800" t="s">
        <v>38</v>
      </c>
      <c r="I428" s="801" t="s">
        <v>89</v>
      </c>
      <c r="J428" s="55" t="s">
        <v>54</v>
      </c>
      <c r="K428" s="69">
        <f>7739.7+166.733</f>
        <v>7906.433</v>
      </c>
      <c r="L428" s="69">
        <f>M428-K428</f>
        <v>58.299999999999272</v>
      </c>
      <c r="M428" s="69">
        <f>7739.7+166.733-30.1+88.4</f>
        <v>7964.7329999999993</v>
      </c>
    </row>
    <row r="429" spans="1:13" s="163" customFormat="1" ht="54" customHeight="1" x14ac:dyDescent="0.35">
      <c r="A429" s="56"/>
      <c r="B429" s="610" t="s">
        <v>74</v>
      </c>
      <c r="C429" s="68" t="s">
        <v>443</v>
      </c>
      <c r="D429" s="55" t="s">
        <v>221</v>
      </c>
      <c r="E429" s="55" t="s">
        <v>38</v>
      </c>
      <c r="F429" s="799" t="s">
        <v>38</v>
      </c>
      <c r="G429" s="800" t="s">
        <v>44</v>
      </c>
      <c r="H429" s="800" t="s">
        <v>38</v>
      </c>
      <c r="I429" s="801" t="s">
        <v>89</v>
      </c>
      <c r="J429" s="55" t="s">
        <v>75</v>
      </c>
      <c r="K429" s="69">
        <f>73707.9+98.9</f>
        <v>73806.799999999988</v>
      </c>
      <c r="L429" s="69">
        <f>M429-K429</f>
        <v>130.60000000000582</v>
      </c>
      <c r="M429" s="69">
        <f>73707.9+98.9+130.6</f>
        <v>73937.399999999994</v>
      </c>
    </row>
    <row r="430" spans="1:13" s="163" customFormat="1" ht="18" customHeight="1" x14ac:dyDescent="0.35">
      <c r="A430" s="56"/>
      <c r="B430" s="610" t="s">
        <v>55</v>
      </c>
      <c r="C430" s="68" t="s">
        <v>443</v>
      </c>
      <c r="D430" s="55" t="s">
        <v>221</v>
      </c>
      <c r="E430" s="55" t="s">
        <v>38</v>
      </c>
      <c r="F430" s="799" t="s">
        <v>38</v>
      </c>
      <c r="G430" s="800" t="s">
        <v>44</v>
      </c>
      <c r="H430" s="800" t="s">
        <v>38</v>
      </c>
      <c r="I430" s="801" t="s">
        <v>89</v>
      </c>
      <c r="J430" s="55" t="s">
        <v>56</v>
      </c>
      <c r="K430" s="69">
        <v>349.8</v>
      </c>
      <c r="L430" s="69">
        <f>M430-K430</f>
        <v>30.100000000000023</v>
      </c>
      <c r="M430" s="69">
        <f>349.8+30.1</f>
        <v>379.90000000000003</v>
      </c>
    </row>
    <row r="431" spans="1:13" s="163" customFormat="1" ht="18" customHeight="1" x14ac:dyDescent="0.35">
      <c r="A431" s="56"/>
      <c r="B431" s="610" t="s">
        <v>485</v>
      </c>
      <c r="C431" s="68" t="s">
        <v>443</v>
      </c>
      <c r="D431" s="55" t="s">
        <v>221</v>
      </c>
      <c r="E431" s="55" t="s">
        <v>38</v>
      </c>
      <c r="F431" s="799" t="s">
        <v>38</v>
      </c>
      <c r="G431" s="800" t="s">
        <v>44</v>
      </c>
      <c r="H431" s="800" t="s">
        <v>38</v>
      </c>
      <c r="I431" s="801" t="s">
        <v>402</v>
      </c>
      <c r="J431" s="55"/>
      <c r="K431" s="69">
        <f>SUM(K432:K433)</f>
        <v>6357.2204300000003</v>
      </c>
      <c r="L431" s="69">
        <f>SUM(L432:L433)</f>
        <v>2650.9999999999991</v>
      </c>
      <c r="M431" s="69">
        <f>SUM(M432:M433)</f>
        <v>9008.2204299999994</v>
      </c>
    </row>
    <row r="432" spans="1:13" s="163" customFormat="1" ht="54" x14ac:dyDescent="0.35">
      <c r="A432" s="56"/>
      <c r="B432" s="610" t="s">
        <v>53</v>
      </c>
      <c r="C432" s="68" t="s">
        <v>443</v>
      </c>
      <c r="D432" s="55" t="s">
        <v>221</v>
      </c>
      <c r="E432" s="55" t="s">
        <v>38</v>
      </c>
      <c r="F432" s="799" t="s">
        <v>38</v>
      </c>
      <c r="G432" s="800" t="s">
        <v>44</v>
      </c>
      <c r="H432" s="800" t="s">
        <v>38</v>
      </c>
      <c r="I432" s="801" t="s">
        <v>402</v>
      </c>
      <c r="J432" s="55" t="s">
        <v>54</v>
      </c>
      <c r="K432" s="69">
        <v>5.9204299999999996</v>
      </c>
      <c r="L432" s="69">
        <f>M432-K432</f>
        <v>0</v>
      </c>
      <c r="M432" s="69">
        <v>5.9204299999999996</v>
      </c>
    </row>
    <row r="433" spans="1:13" s="163" customFormat="1" ht="54" customHeight="1" x14ac:dyDescent="0.35">
      <c r="A433" s="56"/>
      <c r="B433" s="610" t="s">
        <v>74</v>
      </c>
      <c r="C433" s="68" t="s">
        <v>443</v>
      </c>
      <c r="D433" s="55" t="s">
        <v>221</v>
      </c>
      <c r="E433" s="55" t="s">
        <v>38</v>
      </c>
      <c r="F433" s="799" t="s">
        <v>38</v>
      </c>
      <c r="G433" s="800" t="s">
        <v>44</v>
      </c>
      <c r="H433" s="800" t="s">
        <v>38</v>
      </c>
      <c r="I433" s="801" t="s">
        <v>402</v>
      </c>
      <c r="J433" s="55" t="s">
        <v>75</v>
      </c>
      <c r="K433" s="69">
        <f>5986.3+365</f>
        <v>6351.3</v>
      </c>
      <c r="L433" s="69">
        <f>M433-K433</f>
        <v>2650.9999999999991</v>
      </c>
      <c r="M433" s="69">
        <f>5986.3+365+329.9+1422.7+898.4</f>
        <v>9002.2999999999993</v>
      </c>
    </row>
    <row r="434" spans="1:13" s="167" customFormat="1" ht="54" customHeight="1" x14ac:dyDescent="0.35">
      <c r="A434" s="56"/>
      <c r="B434" s="610" t="s">
        <v>205</v>
      </c>
      <c r="C434" s="68" t="s">
        <v>443</v>
      </c>
      <c r="D434" s="55" t="s">
        <v>221</v>
      </c>
      <c r="E434" s="55" t="s">
        <v>38</v>
      </c>
      <c r="F434" s="799" t="s">
        <v>38</v>
      </c>
      <c r="G434" s="800" t="s">
        <v>44</v>
      </c>
      <c r="H434" s="800" t="s">
        <v>38</v>
      </c>
      <c r="I434" s="801" t="s">
        <v>287</v>
      </c>
      <c r="J434" s="55"/>
      <c r="K434" s="69">
        <f>SUM(K435:K436)</f>
        <v>31608.699999999997</v>
      </c>
      <c r="L434" s="69">
        <f t="shared" ref="L434" si="138">SUM(L435:L436)</f>
        <v>0</v>
      </c>
      <c r="M434" s="69">
        <f>SUM(M435:M436)</f>
        <v>31608.699999999997</v>
      </c>
    </row>
    <row r="435" spans="1:13" s="167" customFormat="1" ht="54" customHeight="1" x14ac:dyDescent="0.35">
      <c r="A435" s="56"/>
      <c r="B435" s="610" t="s">
        <v>53</v>
      </c>
      <c r="C435" s="68" t="s">
        <v>443</v>
      </c>
      <c r="D435" s="55" t="s">
        <v>221</v>
      </c>
      <c r="E435" s="55" t="s">
        <v>38</v>
      </c>
      <c r="F435" s="799" t="s">
        <v>38</v>
      </c>
      <c r="G435" s="800" t="s">
        <v>44</v>
      </c>
      <c r="H435" s="800" t="s">
        <v>38</v>
      </c>
      <c r="I435" s="801" t="s">
        <v>287</v>
      </c>
      <c r="J435" s="55" t="s">
        <v>54</v>
      </c>
      <c r="K435" s="69">
        <f>4392+246+198.4</f>
        <v>4836.3999999999996</v>
      </c>
      <c r="L435" s="69">
        <f>M435-K435</f>
        <v>0</v>
      </c>
      <c r="M435" s="69">
        <f>4392+246+198.4</f>
        <v>4836.3999999999996</v>
      </c>
    </row>
    <row r="436" spans="1:13" s="167" customFormat="1" ht="54" customHeight="1" x14ac:dyDescent="0.35">
      <c r="A436" s="56"/>
      <c r="B436" s="610" t="s">
        <v>74</v>
      </c>
      <c r="C436" s="68" t="s">
        <v>443</v>
      </c>
      <c r="D436" s="55" t="s">
        <v>221</v>
      </c>
      <c r="E436" s="55" t="s">
        <v>38</v>
      </c>
      <c r="F436" s="799" t="s">
        <v>38</v>
      </c>
      <c r="G436" s="800" t="s">
        <v>44</v>
      </c>
      <c r="H436" s="800" t="s">
        <v>38</v>
      </c>
      <c r="I436" s="801" t="s">
        <v>287</v>
      </c>
      <c r="J436" s="55" t="s">
        <v>75</v>
      </c>
      <c r="K436" s="69">
        <f>25254+1414.3+19.9+72+12.1</f>
        <v>26772.3</v>
      </c>
      <c r="L436" s="69">
        <f>M436-K436</f>
        <v>0</v>
      </c>
      <c r="M436" s="69">
        <f>25254+1414.3+19.9+72+12.1</f>
        <v>26772.3</v>
      </c>
    </row>
    <row r="437" spans="1:13" s="167" customFormat="1" ht="36" customHeight="1" x14ac:dyDescent="0.35">
      <c r="A437" s="56"/>
      <c r="B437" s="610" t="s">
        <v>206</v>
      </c>
      <c r="C437" s="68" t="s">
        <v>443</v>
      </c>
      <c r="D437" s="55" t="s">
        <v>221</v>
      </c>
      <c r="E437" s="55" t="s">
        <v>38</v>
      </c>
      <c r="F437" s="799" t="s">
        <v>38</v>
      </c>
      <c r="G437" s="800" t="s">
        <v>44</v>
      </c>
      <c r="H437" s="800" t="s">
        <v>38</v>
      </c>
      <c r="I437" s="801" t="s">
        <v>288</v>
      </c>
      <c r="J437" s="55"/>
      <c r="K437" s="69">
        <f>SUM(K438:K439)</f>
        <v>52904.1</v>
      </c>
      <c r="L437" s="69">
        <f t="shared" ref="L437" si="139">SUM(L438:L439)</f>
        <v>540.5</v>
      </c>
      <c r="M437" s="69">
        <f>SUM(M438:M439)</f>
        <v>53444.6</v>
      </c>
    </row>
    <row r="438" spans="1:13" s="167" customFormat="1" ht="54" customHeight="1" x14ac:dyDescent="0.35">
      <c r="A438" s="56"/>
      <c r="B438" s="610" t="s">
        <v>53</v>
      </c>
      <c r="C438" s="68" t="s">
        <v>443</v>
      </c>
      <c r="D438" s="55" t="s">
        <v>221</v>
      </c>
      <c r="E438" s="55" t="s">
        <v>38</v>
      </c>
      <c r="F438" s="799" t="s">
        <v>38</v>
      </c>
      <c r="G438" s="800" t="s">
        <v>44</v>
      </c>
      <c r="H438" s="800" t="s">
        <v>38</v>
      </c>
      <c r="I438" s="801" t="s">
        <v>288</v>
      </c>
      <c r="J438" s="55" t="s">
        <v>54</v>
      </c>
      <c r="K438" s="69">
        <f>609.1+28880</f>
        <v>29489.1</v>
      </c>
      <c r="L438" s="69">
        <f>M438-K438</f>
        <v>150</v>
      </c>
      <c r="M438" s="69">
        <f>609.1+28880+150</f>
        <v>29639.1</v>
      </c>
    </row>
    <row r="439" spans="1:13" s="167" customFormat="1" ht="54" customHeight="1" x14ac:dyDescent="0.35">
      <c r="A439" s="56"/>
      <c r="B439" s="610" t="s">
        <v>74</v>
      </c>
      <c r="C439" s="68" t="s">
        <v>443</v>
      </c>
      <c r="D439" s="55" t="s">
        <v>221</v>
      </c>
      <c r="E439" s="55" t="s">
        <v>38</v>
      </c>
      <c r="F439" s="799" t="s">
        <v>38</v>
      </c>
      <c r="G439" s="800" t="s">
        <v>44</v>
      </c>
      <c r="H439" s="800" t="s">
        <v>38</v>
      </c>
      <c r="I439" s="801" t="s">
        <v>288</v>
      </c>
      <c r="J439" s="55" t="s">
        <v>75</v>
      </c>
      <c r="K439" s="69">
        <f>23295+120</f>
        <v>23415</v>
      </c>
      <c r="L439" s="69">
        <f>M439-K439</f>
        <v>390.5</v>
      </c>
      <c r="M439" s="69">
        <f>23295+120+81.5+150+69+90</f>
        <v>23805.5</v>
      </c>
    </row>
    <row r="440" spans="1:13" s="167" customFormat="1" ht="54" customHeight="1" x14ac:dyDescent="0.35">
      <c r="A440" s="56"/>
      <c r="B440" s="610" t="s">
        <v>531</v>
      </c>
      <c r="C440" s="68" t="s">
        <v>443</v>
      </c>
      <c r="D440" s="55" t="s">
        <v>221</v>
      </c>
      <c r="E440" s="55" t="s">
        <v>38</v>
      </c>
      <c r="F440" s="799" t="s">
        <v>38</v>
      </c>
      <c r="G440" s="800" t="s">
        <v>44</v>
      </c>
      <c r="H440" s="800" t="s">
        <v>38</v>
      </c>
      <c r="I440" s="801" t="s">
        <v>532</v>
      </c>
      <c r="J440" s="55"/>
      <c r="K440" s="69">
        <f>K441</f>
        <v>30</v>
      </c>
      <c r="L440" s="69">
        <f t="shared" ref="L440" si="140">L441</f>
        <v>0</v>
      </c>
      <c r="M440" s="69">
        <f>M441</f>
        <v>30</v>
      </c>
    </row>
    <row r="441" spans="1:13" s="167" customFormat="1" ht="54" customHeight="1" x14ac:dyDescent="0.35">
      <c r="A441" s="56"/>
      <c r="B441" s="610" t="s">
        <v>74</v>
      </c>
      <c r="C441" s="68" t="s">
        <v>443</v>
      </c>
      <c r="D441" s="55" t="s">
        <v>221</v>
      </c>
      <c r="E441" s="55" t="s">
        <v>38</v>
      </c>
      <c r="F441" s="799" t="s">
        <v>38</v>
      </c>
      <c r="G441" s="800" t="s">
        <v>44</v>
      </c>
      <c r="H441" s="800" t="s">
        <v>38</v>
      </c>
      <c r="I441" s="801" t="s">
        <v>532</v>
      </c>
      <c r="J441" s="55" t="s">
        <v>75</v>
      </c>
      <c r="K441" s="69">
        <v>30</v>
      </c>
      <c r="L441" s="69">
        <f>M441-K441</f>
        <v>0</v>
      </c>
      <c r="M441" s="69">
        <v>30</v>
      </c>
    </row>
    <row r="442" spans="1:13" s="167" customFormat="1" ht="180" customHeight="1" x14ac:dyDescent="0.35">
      <c r="A442" s="56"/>
      <c r="B442" s="610" t="s">
        <v>282</v>
      </c>
      <c r="C442" s="68" t="s">
        <v>443</v>
      </c>
      <c r="D442" s="55" t="s">
        <v>221</v>
      </c>
      <c r="E442" s="55" t="s">
        <v>38</v>
      </c>
      <c r="F442" s="799" t="s">
        <v>38</v>
      </c>
      <c r="G442" s="800" t="s">
        <v>44</v>
      </c>
      <c r="H442" s="800" t="s">
        <v>38</v>
      </c>
      <c r="I442" s="801" t="s">
        <v>283</v>
      </c>
      <c r="J442" s="55"/>
      <c r="K442" s="69">
        <f>SUM(K443:K445)</f>
        <v>1468.6</v>
      </c>
      <c r="L442" s="69">
        <f t="shared" ref="L442" si="141">SUM(L443:L445)</f>
        <v>0</v>
      </c>
      <c r="M442" s="69">
        <f>SUM(M443:M445)</f>
        <v>1468.6</v>
      </c>
    </row>
    <row r="443" spans="1:13" s="167" customFormat="1" ht="108" customHeight="1" x14ac:dyDescent="0.35">
      <c r="A443" s="56"/>
      <c r="B443" s="610" t="s">
        <v>48</v>
      </c>
      <c r="C443" s="68" t="s">
        <v>443</v>
      </c>
      <c r="D443" s="55" t="s">
        <v>221</v>
      </c>
      <c r="E443" s="55" t="s">
        <v>38</v>
      </c>
      <c r="F443" s="799" t="s">
        <v>38</v>
      </c>
      <c r="G443" s="800" t="s">
        <v>44</v>
      </c>
      <c r="H443" s="800" t="s">
        <v>38</v>
      </c>
      <c r="I443" s="801" t="s">
        <v>283</v>
      </c>
      <c r="J443" s="55" t="s">
        <v>49</v>
      </c>
      <c r="K443" s="69">
        <v>77.599999999999994</v>
      </c>
      <c r="L443" s="69">
        <f>M443-K443</f>
        <v>0</v>
      </c>
      <c r="M443" s="69">
        <v>77.599999999999994</v>
      </c>
    </row>
    <row r="444" spans="1:13" s="167" customFormat="1" ht="36" customHeight="1" x14ac:dyDescent="0.35">
      <c r="A444" s="56"/>
      <c r="B444" s="610" t="s">
        <v>118</v>
      </c>
      <c r="C444" s="68" t="s">
        <v>443</v>
      </c>
      <c r="D444" s="55" t="s">
        <v>221</v>
      </c>
      <c r="E444" s="55" t="s">
        <v>38</v>
      </c>
      <c r="F444" s="799" t="s">
        <v>38</v>
      </c>
      <c r="G444" s="800" t="s">
        <v>44</v>
      </c>
      <c r="H444" s="800" t="s">
        <v>38</v>
      </c>
      <c r="I444" s="801" t="s">
        <v>283</v>
      </c>
      <c r="J444" s="55" t="s">
        <v>119</v>
      </c>
      <c r="K444" s="69">
        <v>5.5</v>
      </c>
      <c r="L444" s="69">
        <f>M444-K444</f>
        <v>0</v>
      </c>
      <c r="M444" s="69">
        <v>5.5</v>
      </c>
    </row>
    <row r="445" spans="1:13" s="167" customFormat="1" ht="54" customHeight="1" x14ac:dyDescent="0.35">
      <c r="A445" s="56"/>
      <c r="B445" s="610" t="s">
        <v>74</v>
      </c>
      <c r="C445" s="68" t="s">
        <v>443</v>
      </c>
      <c r="D445" s="55" t="s">
        <v>221</v>
      </c>
      <c r="E445" s="55" t="s">
        <v>38</v>
      </c>
      <c r="F445" s="799" t="s">
        <v>38</v>
      </c>
      <c r="G445" s="800" t="s">
        <v>44</v>
      </c>
      <c r="H445" s="800" t="s">
        <v>38</v>
      </c>
      <c r="I445" s="801" t="s">
        <v>283</v>
      </c>
      <c r="J445" s="55" t="s">
        <v>75</v>
      </c>
      <c r="K445" s="69">
        <v>1385.5</v>
      </c>
      <c r="L445" s="69">
        <f>M445-K445</f>
        <v>0</v>
      </c>
      <c r="M445" s="69">
        <v>1385.5</v>
      </c>
    </row>
    <row r="446" spans="1:13" s="167" customFormat="1" ht="108" customHeight="1" x14ac:dyDescent="0.35">
      <c r="A446" s="56"/>
      <c r="B446" s="610" t="s">
        <v>365</v>
      </c>
      <c r="C446" s="68" t="s">
        <v>443</v>
      </c>
      <c r="D446" s="55" t="s">
        <v>221</v>
      </c>
      <c r="E446" s="55" t="s">
        <v>38</v>
      </c>
      <c r="F446" s="799" t="s">
        <v>38</v>
      </c>
      <c r="G446" s="800" t="s">
        <v>44</v>
      </c>
      <c r="H446" s="800" t="s">
        <v>38</v>
      </c>
      <c r="I446" s="801" t="s">
        <v>284</v>
      </c>
      <c r="J446" s="55"/>
      <c r="K446" s="69">
        <f>K447+K448+K449</f>
        <v>517624.4</v>
      </c>
      <c r="L446" s="69">
        <f t="shared" ref="L446" si="142">L447+L448+L449</f>
        <v>0</v>
      </c>
      <c r="M446" s="69">
        <f>M447+M448+M449</f>
        <v>517624.4</v>
      </c>
    </row>
    <row r="447" spans="1:13" s="167" customFormat="1" ht="108" customHeight="1" x14ac:dyDescent="0.35">
      <c r="A447" s="56"/>
      <c r="B447" s="610" t="s">
        <v>48</v>
      </c>
      <c r="C447" s="68" t="s">
        <v>443</v>
      </c>
      <c r="D447" s="55" t="s">
        <v>221</v>
      </c>
      <c r="E447" s="55" t="s">
        <v>38</v>
      </c>
      <c r="F447" s="799" t="s">
        <v>38</v>
      </c>
      <c r="G447" s="800" t="s">
        <v>44</v>
      </c>
      <c r="H447" s="800" t="s">
        <v>38</v>
      </c>
      <c r="I447" s="801" t="s">
        <v>284</v>
      </c>
      <c r="J447" s="55" t="s">
        <v>49</v>
      </c>
      <c r="K447" s="69">
        <v>30000</v>
      </c>
      <c r="L447" s="69">
        <f>M447-K447</f>
        <v>0</v>
      </c>
      <c r="M447" s="69">
        <v>30000</v>
      </c>
    </row>
    <row r="448" spans="1:13" s="167" customFormat="1" ht="54" customHeight="1" x14ac:dyDescent="0.35">
      <c r="A448" s="56"/>
      <c r="B448" s="610" t="s">
        <v>53</v>
      </c>
      <c r="C448" s="68" t="s">
        <v>443</v>
      </c>
      <c r="D448" s="55" t="s">
        <v>221</v>
      </c>
      <c r="E448" s="55" t="s">
        <v>38</v>
      </c>
      <c r="F448" s="799" t="s">
        <v>38</v>
      </c>
      <c r="G448" s="800" t="s">
        <v>44</v>
      </c>
      <c r="H448" s="800" t="s">
        <v>38</v>
      </c>
      <c r="I448" s="801" t="s">
        <v>284</v>
      </c>
      <c r="J448" s="55" t="s">
        <v>54</v>
      </c>
      <c r="K448" s="69">
        <v>2062</v>
      </c>
      <c r="L448" s="69">
        <f>M448-K448</f>
        <v>0</v>
      </c>
      <c r="M448" s="69">
        <v>2062</v>
      </c>
    </row>
    <row r="449" spans="1:14" s="167" customFormat="1" ht="54" customHeight="1" x14ac:dyDescent="0.35">
      <c r="A449" s="56"/>
      <c r="B449" s="610" t="s">
        <v>74</v>
      </c>
      <c r="C449" s="68" t="s">
        <v>443</v>
      </c>
      <c r="D449" s="55" t="s">
        <v>221</v>
      </c>
      <c r="E449" s="55" t="s">
        <v>38</v>
      </c>
      <c r="F449" s="799" t="s">
        <v>38</v>
      </c>
      <c r="G449" s="800" t="s">
        <v>44</v>
      </c>
      <c r="H449" s="800" t="s">
        <v>38</v>
      </c>
      <c r="I449" s="801" t="s">
        <v>284</v>
      </c>
      <c r="J449" s="55" t="s">
        <v>75</v>
      </c>
      <c r="K449" s="69">
        <v>485562.4</v>
      </c>
      <c r="L449" s="69">
        <f>M449-K449</f>
        <v>0</v>
      </c>
      <c r="M449" s="69">
        <v>485562.4</v>
      </c>
    </row>
    <row r="450" spans="1:14" s="163" customFormat="1" ht="90" customHeight="1" x14ac:dyDescent="0.35">
      <c r="A450" s="56"/>
      <c r="B450" s="610" t="s">
        <v>207</v>
      </c>
      <c r="C450" s="68" t="s">
        <v>443</v>
      </c>
      <c r="D450" s="55" t="s">
        <v>221</v>
      </c>
      <c r="E450" s="55" t="s">
        <v>38</v>
      </c>
      <c r="F450" s="799" t="s">
        <v>38</v>
      </c>
      <c r="G450" s="800" t="s">
        <v>44</v>
      </c>
      <c r="H450" s="800" t="s">
        <v>38</v>
      </c>
      <c r="I450" s="801" t="s">
        <v>289</v>
      </c>
      <c r="J450" s="55"/>
      <c r="K450" s="69">
        <f>SUM(K451:K452)</f>
        <v>2391.3000000000002</v>
      </c>
      <c r="L450" s="69">
        <f t="shared" ref="L450" si="143">SUM(L451:L452)</f>
        <v>0</v>
      </c>
      <c r="M450" s="69">
        <f>SUM(M451:M452)</f>
        <v>2391.3000000000002</v>
      </c>
    </row>
    <row r="451" spans="1:14" s="163" customFormat="1" ht="54" customHeight="1" x14ac:dyDescent="0.35">
      <c r="A451" s="56"/>
      <c r="B451" s="610" t="s">
        <v>53</v>
      </c>
      <c r="C451" s="68" t="s">
        <v>443</v>
      </c>
      <c r="D451" s="55" t="s">
        <v>221</v>
      </c>
      <c r="E451" s="55" t="s">
        <v>38</v>
      </c>
      <c r="F451" s="799" t="s">
        <v>38</v>
      </c>
      <c r="G451" s="800" t="s">
        <v>44</v>
      </c>
      <c r="H451" s="800" t="s">
        <v>38</v>
      </c>
      <c r="I451" s="801" t="s">
        <v>289</v>
      </c>
      <c r="J451" s="55" t="s">
        <v>54</v>
      </c>
      <c r="K451" s="69">
        <v>102.4</v>
      </c>
      <c r="L451" s="69">
        <f>M451-K451</f>
        <v>0</v>
      </c>
      <c r="M451" s="69">
        <v>102.4</v>
      </c>
    </row>
    <row r="452" spans="1:14" s="163" customFormat="1" ht="54" customHeight="1" x14ac:dyDescent="0.35">
      <c r="A452" s="56"/>
      <c r="B452" s="610" t="s">
        <v>74</v>
      </c>
      <c r="C452" s="68" t="s">
        <v>443</v>
      </c>
      <c r="D452" s="55" t="s">
        <v>221</v>
      </c>
      <c r="E452" s="55" t="s">
        <v>38</v>
      </c>
      <c r="F452" s="799" t="s">
        <v>38</v>
      </c>
      <c r="G452" s="800" t="s">
        <v>44</v>
      </c>
      <c r="H452" s="800" t="s">
        <v>38</v>
      </c>
      <c r="I452" s="801" t="s">
        <v>289</v>
      </c>
      <c r="J452" s="55" t="s">
        <v>75</v>
      </c>
      <c r="K452" s="69">
        <v>2288.9</v>
      </c>
      <c r="L452" s="69">
        <f>M452-K452</f>
        <v>0</v>
      </c>
      <c r="M452" s="69">
        <v>2288.9</v>
      </c>
    </row>
    <row r="453" spans="1:14" s="163" customFormat="1" ht="54" customHeight="1" x14ac:dyDescent="0.35">
      <c r="A453" s="56"/>
      <c r="B453" s="610" t="s">
        <v>738</v>
      </c>
      <c r="C453" s="68" t="s">
        <v>443</v>
      </c>
      <c r="D453" s="55" t="s">
        <v>221</v>
      </c>
      <c r="E453" s="55" t="s">
        <v>38</v>
      </c>
      <c r="F453" s="799" t="s">
        <v>38</v>
      </c>
      <c r="G453" s="800" t="s">
        <v>44</v>
      </c>
      <c r="H453" s="800" t="s">
        <v>38</v>
      </c>
      <c r="I453" s="801" t="s">
        <v>737</v>
      </c>
      <c r="J453" s="55"/>
      <c r="K453" s="69"/>
      <c r="L453" s="69">
        <f>L454</f>
        <v>950</v>
      </c>
      <c r="M453" s="69">
        <f>M454</f>
        <v>950</v>
      </c>
    </row>
    <row r="454" spans="1:14" s="163" customFormat="1" ht="54" customHeight="1" x14ac:dyDescent="0.35">
      <c r="A454" s="56"/>
      <c r="B454" s="610" t="s">
        <v>74</v>
      </c>
      <c r="C454" s="68" t="s">
        <v>443</v>
      </c>
      <c r="D454" s="55" t="s">
        <v>221</v>
      </c>
      <c r="E454" s="55" t="s">
        <v>38</v>
      </c>
      <c r="F454" s="799" t="s">
        <v>38</v>
      </c>
      <c r="G454" s="800" t="s">
        <v>44</v>
      </c>
      <c r="H454" s="800" t="s">
        <v>38</v>
      </c>
      <c r="I454" s="801" t="s">
        <v>737</v>
      </c>
      <c r="J454" s="55" t="s">
        <v>75</v>
      </c>
      <c r="K454" s="69"/>
      <c r="L454" s="69">
        <f>M454-K454</f>
        <v>950</v>
      </c>
      <c r="M454" s="69">
        <v>950</v>
      </c>
    </row>
    <row r="455" spans="1:14" s="163" customFormat="1" ht="162" customHeight="1" x14ac:dyDescent="0.35">
      <c r="A455" s="56"/>
      <c r="B455" s="610" t="s">
        <v>556</v>
      </c>
      <c r="C455" s="68" t="s">
        <v>443</v>
      </c>
      <c r="D455" s="55" t="s">
        <v>221</v>
      </c>
      <c r="E455" s="55" t="s">
        <v>38</v>
      </c>
      <c r="F455" s="799" t="s">
        <v>38</v>
      </c>
      <c r="G455" s="800" t="s">
        <v>44</v>
      </c>
      <c r="H455" s="800" t="s">
        <v>38</v>
      </c>
      <c r="I455" s="801" t="s">
        <v>555</v>
      </c>
      <c r="J455" s="55"/>
      <c r="K455" s="69">
        <f>SUM(K456:K456)</f>
        <v>1845.6</v>
      </c>
      <c r="L455" s="69">
        <f t="shared" ref="L455" si="144">SUM(L456:L456)</f>
        <v>0</v>
      </c>
      <c r="M455" s="69">
        <f>SUM(M456:M456)</f>
        <v>1845.6</v>
      </c>
    </row>
    <row r="456" spans="1:14" s="163" customFormat="1" ht="54" customHeight="1" x14ac:dyDescent="0.35">
      <c r="A456" s="56"/>
      <c r="B456" s="610" t="s">
        <v>74</v>
      </c>
      <c r="C456" s="68" t="s">
        <v>443</v>
      </c>
      <c r="D456" s="55" t="s">
        <v>221</v>
      </c>
      <c r="E456" s="55" t="s">
        <v>38</v>
      </c>
      <c r="F456" s="799" t="s">
        <v>38</v>
      </c>
      <c r="G456" s="800" t="s">
        <v>44</v>
      </c>
      <c r="H456" s="800" t="s">
        <v>38</v>
      </c>
      <c r="I456" s="801" t="s">
        <v>555</v>
      </c>
      <c r="J456" s="55" t="s">
        <v>75</v>
      </c>
      <c r="K456" s="69">
        <v>1845.6</v>
      </c>
      <c r="L456" s="69">
        <f>M456-K456</f>
        <v>0</v>
      </c>
      <c r="M456" s="69">
        <v>1845.6</v>
      </c>
    </row>
    <row r="457" spans="1:14" s="163" customFormat="1" ht="94.95" customHeight="1" x14ac:dyDescent="0.35">
      <c r="A457" s="56"/>
      <c r="B457" s="610" t="s">
        <v>476</v>
      </c>
      <c r="C457" s="68" t="s">
        <v>443</v>
      </c>
      <c r="D457" s="55" t="s">
        <v>221</v>
      </c>
      <c r="E457" s="55" t="s">
        <v>38</v>
      </c>
      <c r="F457" s="799" t="s">
        <v>38</v>
      </c>
      <c r="G457" s="800" t="s">
        <v>44</v>
      </c>
      <c r="H457" s="800" t="s">
        <v>38</v>
      </c>
      <c r="I457" s="801" t="s">
        <v>475</v>
      </c>
      <c r="J457" s="55"/>
      <c r="K457" s="69">
        <f>K458+K459</f>
        <v>65994.399999999994</v>
      </c>
      <c r="L457" s="69">
        <f t="shared" ref="L457" si="145">L458+L459</f>
        <v>0</v>
      </c>
      <c r="M457" s="69">
        <f>M458+M459</f>
        <v>65994.399999999994</v>
      </c>
    </row>
    <row r="458" spans="1:14" s="163" customFormat="1" ht="54" customHeight="1" x14ac:dyDescent="0.35">
      <c r="A458" s="56"/>
      <c r="B458" s="610" t="s">
        <v>53</v>
      </c>
      <c r="C458" s="68" t="s">
        <v>443</v>
      </c>
      <c r="D458" s="55" t="s">
        <v>221</v>
      </c>
      <c r="E458" s="55" t="s">
        <v>38</v>
      </c>
      <c r="F458" s="799" t="s">
        <v>38</v>
      </c>
      <c r="G458" s="800" t="s">
        <v>44</v>
      </c>
      <c r="H458" s="800" t="s">
        <v>38</v>
      </c>
      <c r="I458" s="801" t="s">
        <v>475</v>
      </c>
      <c r="J458" s="55" t="s">
        <v>54</v>
      </c>
      <c r="K458" s="69">
        <f>1564-3.1</f>
        <v>1560.9</v>
      </c>
      <c r="L458" s="69">
        <f>M458-K458</f>
        <v>0</v>
      </c>
      <c r="M458" s="69">
        <f>1564-3.1</f>
        <v>1560.9</v>
      </c>
    </row>
    <row r="459" spans="1:14" s="163" customFormat="1" ht="54" customHeight="1" x14ac:dyDescent="0.35">
      <c r="A459" s="56"/>
      <c r="B459" s="610" t="s">
        <v>74</v>
      </c>
      <c r="C459" s="68" t="s">
        <v>443</v>
      </c>
      <c r="D459" s="55" t="s">
        <v>221</v>
      </c>
      <c r="E459" s="55" t="s">
        <v>38</v>
      </c>
      <c r="F459" s="799" t="s">
        <v>38</v>
      </c>
      <c r="G459" s="800" t="s">
        <v>44</v>
      </c>
      <c r="H459" s="800" t="s">
        <v>38</v>
      </c>
      <c r="I459" s="801" t="s">
        <v>475</v>
      </c>
      <c r="J459" s="55" t="s">
        <v>75</v>
      </c>
      <c r="K459" s="69">
        <f>64350.2+83.3</f>
        <v>64433.5</v>
      </c>
      <c r="L459" s="69">
        <f>M459-K459</f>
        <v>0</v>
      </c>
      <c r="M459" s="69">
        <f>64350.2+83.3</f>
        <v>64433.5</v>
      </c>
    </row>
    <row r="460" spans="1:14" s="163" customFormat="1" ht="270" x14ac:dyDescent="0.35">
      <c r="A460" s="56"/>
      <c r="B460" s="610" t="s">
        <v>759</v>
      </c>
      <c r="C460" s="68" t="s">
        <v>443</v>
      </c>
      <c r="D460" s="55" t="s">
        <v>221</v>
      </c>
      <c r="E460" s="55" t="s">
        <v>38</v>
      </c>
      <c r="F460" s="799" t="s">
        <v>38</v>
      </c>
      <c r="G460" s="800" t="s">
        <v>44</v>
      </c>
      <c r="H460" s="800" t="s">
        <v>38</v>
      </c>
      <c r="I460" s="801" t="s">
        <v>696</v>
      </c>
      <c r="J460" s="55"/>
      <c r="K460" s="69">
        <f>K461+K462</f>
        <v>35544.6</v>
      </c>
      <c r="L460" s="69">
        <f t="shared" ref="L460" si="146">L461+L462</f>
        <v>0</v>
      </c>
      <c r="M460" s="69">
        <f>M461+M462</f>
        <v>35544.6</v>
      </c>
      <c r="N460" s="957"/>
    </row>
    <row r="461" spans="1:14" s="163" customFormat="1" ht="54" customHeight="1" x14ac:dyDescent="0.35">
      <c r="A461" s="56"/>
      <c r="B461" s="610" t="s">
        <v>48</v>
      </c>
      <c r="C461" s="68" t="s">
        <v>443</v>
      </c>
      <c r="D461" s="55" t="s">
        <v>221</v>
      </c>
      <c r="E461" s="55" t="s">
        <v>38</v>
      </c>
      <c r="F461" s="799" t="s">
        <v>38</v>
      </c>
      <c r="G461" s="800" t="s">
        <v>44</v>
      </c>
      <c r="H461" s="800" t="s">
        <v>38</v>
      </c>
      <c r="I461" s="801" t="s">
        <v>696</v>
      </c>
      <c r="J461" s="55" t="s">
        <v>49</v>
      </c>
      <c r="K461" s="69">
        <v>2968.6</v>
      </c>
      <c r="L461" s="69">
        <f>M461-K461</f>
        <v>0</v>
      </c>
      <c r="M461" s="69">
        <v>2968.6</v>
      </c>
    </row>
    <row r="462" spans="1:14" s="163" customFormat="1" ht="54" customHeight="1" x14ac:dyDescent="0.35">
      <c r="A462" s="56"/>
      <c r="B462" s="610" t="s">
        <v>74</v>
      </c>
      <c r="C462" s="68" t="s">
        <v>443</v>
      </c>
      <c r="D462" s="55" t="s">
        <v>221</v>
      </c>
      <c r="E462" s="55" t="s">
        <v>38</v>
      </c>
      <c r="F462" s="799" t="s">
        <v>38</v>
      </c>
      <c r="G462" s="800" t="s">
        <v>44</v>
      </c>
      <c r="H462" s="800" t="s">
        <v>38</v>
      </c>
      <c r="I462" s="801" t="s">
        <v>696</v>
      </c>
      <c r="J462" s="55" t="s">
        <v>75</v>
      </c>
      <c r="K462" s="69">
        <v>32576</v>
      </c>
      <c r="L462" s="69">
        <f>M462-K462</f>
        <v>0</v>
      </c>
      <c r="M462" s="69">
        <v>32576</v>
      </c>
    </row>
    <row r="463" spans="1:14" s="163" customFormat="1" ht="211.95" customHeight="1" x14ac:dyDescent="0.35">
      <c r="A463" s="56"/>
      <c r="B463" s="677" t="s">
        <v>692</v>
      </c>
      <c r="C463" s="68" t="s">
        <v>443</v>
      </c>
      <c r="D463" s="55" t="s">
        <v>221</v>
      </c>
      <c r="E463" s="55" t="s">
        <v>38</v>
      </c>
      <c r="F463" s="799" t="s">
        <v>38</v>
      </c>
      <c r="G463" s="800" t="s">
        <v>44</v>
      </c>
      <c r="H463" s="800" t="s">
        <v>38</v>
      </c>
      <c r="I463" s="801" t="s">
        <v>653</v>
      </c>
      <c r="J463" s="55"/>
      <c r="K463" s="69">
        <f>K464</f>
        <v>3900.6</v>
      </c>
      <c r="L463" s="69">
        <f t="shared" ref="L463" si="147">L464</f>
        <v>0</v>
      </c>
      <c r="M463" s="69">
        <f>M464</f>
        <v>3900.6</v>
      </c>
    </row>
    <row r="464" spans="1:14" s="163" customFormat="1" ht="54" customHeight="1" x14ac:dyDescent="0.35">
      <c r="A464" s="56"/>
      <c r="B464" s="610" t="s">
        <v>74</v>
      </c>
      <c r="C464" s="68" t="s">
        <v>443</v>
      </c>
      <c r="D464" s="55" t="s">
        <v>221</v>
      </c>
      <c r="E464" s="55" t="s">
        <v>38</v>
      </c>
      <c r="F464" s="799" t="s">
        <v>38</v>
      </c>
      <c r="G464" s="800" t="s">
        <v>44</v>
      </c>
      <c r="H464" s="800" t="s">
        <v>38</v>
      </c>
      <c r="I464" s="801" t="s">
        <v>653</v>
      </c>
      <c r="J464" s="55" t="s">
        <v>75</v>
      </c>
      <c r="K464" s="69">
        <v>3900.6</v>
      </c>
      <c r="L464" s="69">
        <f>M464-K464</f>
        <v>0</v>
      </c>
      <c r="M464" s="69">
        <v>3900.6</v>
      </c>
    </row>
    <row r="465" spans="1:13" s="163" customFormat="1" ht="90" customHeight="1" x14ac:dyDescent="0.35">
      <c r="A465" s="56"/>
      <c r="B465" s="610" t="s">
        <v>760</v>
      </c>
      <c r="C465" s="68" t="s">
        <v>443</v>
      </c>
      <c r="D465" s="55" t="s">
        <v>221</v>
      </c>
      <c r="E465" s="55" t="s">
        <v>38</v>
      </c>
      <c r="F465" s="799" t="s">
        <v>38</v>
      </c>
      <c r="G465" s="800" t="s">
        <v>44</v>
      </c>
      <c r="H465" s="800" t="s">
        <v>38</v>
      </c>
      <c r="I465" s="801" t="s">
        <v>553</v>
      </c>
      <c r="J465" s="55"/>
      <c r="K465" s="69">
        <f>SUM(K466:K468)</f>
        <v>14388.6</v>
      </c>
      <c r="L465" s="69">
        <f t="shared" ref="L465" si="148">SUM(L466:L468)</f>
        <v>0</v>
      </c>
      <c r="M465" s="69">
        <f>SUM(M466:M468)</f>
        <v>14388.6</v>
      </c>
    </row>
    <row r="466" spans="1:13" s="163" customFormat="1" ht="54" customHeight="1" x14ac:dyDescent="0.35">
      <c r="A466" s="56"/>
      <c r="B466" s="610" t="s">
        <v>53</v>
      </c>
      <c r="C466" s="68" t="s">
        <v>443</v>
      </c>
      <c r="D466" s="55" t="s">
        <v>221</v>
      </c>
      <c r="E466" s="55" t="s">
        <v>38</v>
      </c>
      <c r="F466" s="799" t="s">
        <v>38</v>
      </c>
      <c r="G466" s="800" t="s">
        <v>44</v>
      </c>
      <c r="H466" s="800" t="s">
        <v>38</v>
      </c>
      <c r="I466" s="801" t="s">
        <v>553</v>
      </c>
      <c r="J466" s="55" t="s">
        <v>54</v>
      </c>
      <c r="K466" s="69">
        <v>149.9</v>
      </c>
      <c r="L466" s="69">
        <f>M466-K466</f>
        <v>0</v>
      </c>
      <c r="M466" s="69">
        <v>149.9</v>
      </c>
    </row>
    <row r="467" spans="1:13" s="163" customFormat="1" ht="36" customHeight="1" x14ac:dyDescent="0.35">
      <c r="A467" s="56"/>
      <c r="B467" s="610" t="s">
        <v>118</v>
      </c>
      <c r="C467" s="68" t="s">
        <v>443</v>
      </c>
      <c r="D467" s="55" t="s">
        <v>221</v>
      </c>
      <c r="E467" s="55" t="s">
        <v>38</v>
      </c>
      <c r="F467" s="799" t="s">
        <v>38</v>
      </c>
      <c r="G467" s="800" t="s">
        <v>44</v>
      </c>
      <c r="H467" s="800" t="s">
        <v>38</v>
      </c>
      <c r="I467" s="801" t="s">
        <v>553</v>
      </c>
      <c r="J467" s="55" t="s">
        <v>119</v>
      </c>
      <c r="K467" s="69">
        <v>97.8</v>
      </c>
      <c r="L467" s="69">
        <f>M467-K467</f>
        <v>0</v>
      </c>
      <c r="M467" s="69">
        <v>97.8</v>
      </c>
    </row>
    <row r="468" spans="1:13" s="163" customFormat="1" ht="54" customHeight="1" x14ac:dyDescent="0.35">
      <c r="A468" s="56"/>
      <c r="B468" s="610" t="s">
        <v>74</v>
      </c>
      <c r="C468" s="68" t="s">
        <v>443</v>
      </c>
      <c r="D468" s="55" t="s">
        <v>221</v>
      </c>
      <c r="E468" s="55" t="s">
        <v>38</v>
      </c>
      <c r="F468" s="799" t="s">
        <v>38</v>
      </c>
      <c r="G468" s="800" t="s">
        <v>44</v>
      </c>
      <c r="H468" s="800" t="s">
        <v>38</v>
      </c>
      <c r="I468" s="801" t="s">
        <v>553</v>
      </c>
      <c r="J468" s="55" t="s">
        <v>75</v>
      </c>
      <c r="K468" s="69">
        <v>14140.9</v>
      </c>
      <c r="L468" s="69">
        <f>M468-K468</f>
        <v>0</v>
      </c>
      <c r="M468" s="69">
        <v>14140.9</v>
      </c>
    </row>
    <row r="469" spans="1:13" s="163" customFormat="1" ht="54" customHeight="1" x14ac:dyDescent="0.35">
      <c r="A469" s="56"/>
      <c r="B469" s="610" t="s">
        <v>679</v>
      </c>
      <c r="C469" s="68" t="s">
        <v>443</v>
      </c>
      <c r="D469" s="55" t="s">
        <v>221</v>
      </c>
      <c r="E469" s="55" t="s">
        <v>38</v>
      </c>
      <c r="F469" s="799" t="s">
        <v>38</v>
      </c>
      <c r="G469" s="800" t="s">
        <v>44</v>
      </c>
      <c r="H469" s="800" t="s">
        <v>680</v>
      </c>
      <c r="I469" s="801" t="s">
        <v>43</v>
      </c>
      <c r="J469" s="55"/>
      <c r="K469" s="69">
        <f>K470</f>
        <v>5745.9</v>
      </c>
      <c r="L469" s="69">
        <f>L470</f>
        <v>0</v>
      </c>
      <c r="M469" s="69">
        <f>M470</f>
        <v>5745.9</v>
      </c>
    </row>
    <row r="470" spans="1:13" s="163" customFormat="1" ht="54" customHeight="1" x14ac:dyDescent="0.35">
      <c r="A470" s="56"/>
      <c r="B470" s="610" t="s">
        <v>681</v>
      </c>
      <c r="C470" s="68" t="s">
        <v>443</v>
      </c>
      <c r="D470" s="55" t="s">
        <v>221</v>
      </c>
      <c r="E470" s="55" t="s">
        <v>38</v>
      </c>
      <c r="F470" s="799" t="s">
        <v>38</v>
      </c>
      <c r="G470" s="800" t="s">
        <v>44</v>
      </c>
      <c r="H470" s="800" t="s">
        <v>680</v>
      </c>
      <c r="I470" s="801" t="s">
        <v>682</v>
      </c>
      <c r="J470" s="55"/>
      <c r="K470" s="69">
        <f>K471+K472</f>
        <v>5745.9</v>
      </c>
      <c r="L470" s="69">
        <f>L471+L472</f>
        <v>0</v>
      </c>
      <c r="M470" s="69">
        <f>M471+M472</f>
        <v>5745.9</v>
      </c>
    </row>
    <row r="471" spans="1:13" s="163" customFormat="1" ht="54" customHeight="1" x14ac:dyDescent="0.35">
      <c r="A471" s="56"/>
      <c r="B471" s="610" t="s">
        <v>48</v>
      </c>
      <c r="C471" s="68" t="s">
        <v>443</v>
      </c>
      <c r="D471" s="55" t="s">
        <v>221</v>
      </c>
      <c r="E471" s="55" t="s">
        <v>38</v>
      </c>
      <c r="F471" s="799" t="s">
        <v>38</v>
      </c>
      <c r="G471" s="800" t="s">
        <v>44</v>
      </c>
      <c r="H471" s="800" t="s">
        <v>680</v>
      </c>
      <c r="I471" s="801" t="s">
        <v>682</v>
      </c>
      <c r="J471" s="55" t="s">
        <v>49</v>
      </c>
      <c r="K471" s="69">
        <v>420.4</v>
      </c>
      <c r="L471" s="69">
        <f>M471-K471</f>
        <v>0</v>
      </c>
      <c r="M471" s="69">
        <v>420.4</v>
      </c>
    </row>
    <row r="472" spans="1:13" s="163" customFormat="1" ht="54" customHeight="1" x14ac:dyDescent="0.35">
      <c r="A472" s="56"/>
      <c r="B472" s="610" t="s">
        <v>74</v>
      </c>
      <c r="C472" s="68" t="s">
        <v>443</v>
      </c>
      <c r="D472" s="55" t="s">
        <v>221</v>
      </c>
      <c r="E472" s="55" t="s">
        <v>38</v>
      </c>
      <c r="F472" s="799" t="s">
        <v>38</v>
      </c>
      <c r="G472" s="800" t="s">
        <v>44</v>
      </c>
      <c r="H472" s="800" t="s">
        <v>680</v>
      </c>
      <c r="I472" s="801" t="s">
        <v>682</v>
      </c>
      <c r="J472" s="55" t="s">
        <v>75</v>
      </c>
      <c r="K472" s="69">
        <v>5325.5</v>
      </c>
      <c r="L472" s="69">
        <f>M472-K472</f>
        <v>0</v>
      </c>
      <c r="M472" s="69">
        <v>5325.5</v>
      </c>
    </row>
    <row r="473" spans="1:13" s="167" customFormat="1" ht="54" customHeight="1" x14ac:dyDescent="0.35">
      <c r="A473" s="56"/>
      <c r="B473" s="610" t="s">
        <v>210</v>
      </c>
      <c r="C473" s="68" t="s">
        <v>443</v>
      </c>
      <c r="D473" s="55" t="s">
        <v>221</v>
      </c>
      <c r="E473" s="55" t="s">
        <v>38</v>
      </c>
      <c r="F473" s="799" t="s">
        <v>38</v>
      </c>
      <c r="G473" s="800" t="s">
        <v>29</v>
      </c>
      <c r="H473" s="800" t="s">
        <v>42</v>
      </c>
      <c r="I473" s="801" t="s">
        <v>43</v>
      </c>
      <c r="J473" s="55"/>
      <c r="K473" s="69">
        <f t="shared" ref="K473:M475" si="149">K474</f>
        <v>2379.1</v>
      </c>
      <c r="L473" s="69">
        <f t="shared" si="149"/>
        <v>0</v>
      </c>
      <c r="M473" s="69">
        <f t="shared" si="149"/>
        <v>2379.1</v>
      </c>
    </row>
    <row r="474" spans="1:13" s="167" customFormat="1" ht="36" customHeight="1" x14ac:dyDescent="0.35">
      <c r="A474" s="56"/>
      <c r="B474" s="610" t="s">
        <v>296</v>
      </c>
      <c r="C474" s="68" t="s">
        <v>443</v>
      </c>
      <c r="D474" s="55" t="s">
        <v>221</v>
      </c>
      <c r="E474" s="55" t="s">
        <v>38</v>
      </c>
      <c r="F474" s="799" t="s">
        <v>38</v>
      </c>
      <c r="G474" s="800" t="s">
        <v>29</v>
      </c>
      <c r="H474" s="800" t="s">
        <v>36</v>
      </c>
      <c r="I474" s="801" t="s">
        <v>43</v>
      </c>
      <c r="J474" s="55"/>
      <c r="K474" s="69">
        <f t="shared" si="149"/>
        <v>2379.1</v>
      </c>
      <c r="L474" s="69">
        <f t="shared" si="149"/>
        <v>0</v>
      </c>
      <c r="M474" s="69">
        <f t="shared" si="149"/>
        <v>2379.1</v>
      </c>
    </row>
    <row r="475" spans="1:13" s="167" customFormat="1" ht="252" customHeight="1" x14ac:dyDescent="0.35">
      <c r="A475" s="56"/>
      <c r="B475" s="610" t="s">
        <v>453</v>
      </c>
      <c r="C475" s="68" t="s">
        <v>443</v>
      </c>
      <c r="D475" s="55" t="s">
        <v>221</v>
      </c>
      <c r="E475" s="55" t="s">
        <v>38</v>
      </c>
      <c r="F475" s="799" t="s">
        <v>38</v>
      </c>
      <c r="G475" s="800" t="s">
        <v>29</v>
      </c>
      <c r="H475" s="800" t="s">
        <v>36</v>
      </c>
      <c r="I475" s="801" t="s">
        <v>366</v>
      </c>
      <c r="J475" s="55"/>
      <c r="K475" s="69">
        <f>K476</f>
        <v>2379.1</v>
      </c>
      <c r="L475" s="69">
        <f t="shared" si="149"/>
        <v>0</v>
      </c>
      <c r="M475" s="69">
        <f>M476</f>
        <v>2379.1</v>
      </c>
    </row>
    <row r="476" spans="1:13" s="167" customFormat="1" ht="54" customHeight="1" x14ac:dyDescent="0.35">
      <c r="A476" s="56"/>
      <c r="B476" s="610" t="s">
        <v>74</v>
      </c>
      <c r="C476" s="68" t="s">
        <v>443</v>
      </c>
      <c r="D476" s="55" t="s">
        <v>221</v>
      </c>
      <c r="E476" s="55" t="s">
        <v>38</v>
      </c>
      <c r="F476" s="799" t="s">
        <v>38</v>
      </c>
      <c r="G476" s="800" t="s">
        <v>29</v>
      </c>
      <c r="H476" s="800" t="s">
        <v>36</v>
      </c>
      <c r="I476" s="801" t="s">
        <v>366</v>
      </c>
      <c r="J476" s="55" t="s">
        <v>75</v>
      </c>
      <c r="K476" s="69">
        <v>2379.1</v>
      </c>
      <c r="L476" s="69">
        <f>M476-K476</f>
        <v>0</v>
      </c>
      <c r="M476" s="69">
        <v>2379.1</v>
      </c>
    </row>
    <row r="477" spans="1:13" s="167" customFormat="1" ht="18" customHeight="1" x14ac:dyDescent="0.35">
      <c r="A477" s="56"/>
      <c r="B477" s="610" t="s">
        <v>369</v>
      </c>
      <c r="C477" s="68" t="s">
        <v>443</v>
      </c>
      <c r="D477" s="55" t="s">
        <v>221</v>
      </c>
      <c r="E477" s="55" t="s">
        <v>61</v>
      </c>
      <c r="F477" s="799"/>
      <c r="G477" s="800"/>
      <c r="H477" s="800"/>
      <c r="I477" s="801"/>
      <c r="J477" s="55"/>
      <c r="K477" s="69">
        <f>K478</f>
        <v>65815.199999999997</v>
      </c>
      <c r="L477" s="69">
        <f t="shared" ref="L477" si="150">L478</f>
        <v>1673.8000000000029</v>
      </c>
      <c r="M477" s="69">
        <f>M478</f>
        <v>67489</v>
      </c>
    </row>
    <row r="478" spans="1:13" s="167" customFormat="1" ht="54" customHeight="1" x14ac:dyDescent="0.35">
      <c r="A478" s="56"/>
      <c r="B478" s="677" t="s">
        <v>203</v>
      </c>
      <c r="C478" s="68" t="s">
        <v>443</v>
      </c>
      <c r="D478" s="55" t="s">
        <v>221</v>
      </c>
      <c r="E478" s="55" t="s">
        <v>61</v>
      </c>
      <c r="F478" s="799" t="s">
        <v>38</v>
      </c>
      <c r="G478" s="800" t="s">
        <v>41</v>
      </c>
      <c r="H478" s="800" t="s">
        <v>42</v>
      </c>
      <c r="I478" s="801" t="s">
        <v>43</v>
      </c>
      <c r="J478" s="55"/>
      <c r="K478" s="69">
        <f t="shared" ref="K478:M479" si="151">K479</f>
        <v>65815.199999999997</v>
      </c>
      <c r="L478" s="69">
        <f t="shared" si="151"/>
        <v>1673.8000000000029</v>
      </c>
      <c r="M478" s="69">
        <f t="shared" si="151"/>
        <v>67489</v>
      </c>
    </row>
    <row r="479" spans="1:13" s="167" customFormat="1" ht="18" customHeight="1" x14ac:dyDescent="0.35">
      <c r="A479" s="56"/>
      <c r="B479" s="610" t="s">
        <v>208</v>
      </c>
      <c r="C479" s="68" t="s">
        <v>443</v>
      </c>
      <c r="D479" s="55" t="s">
        <v>221</v>
      </c>
      <c r="E479" s="55" t="s">
        <v>61</v>
      </c>
      <c r="F479" s="799" t="s">
        <v>38</v>
      </c>
      <c r="G479" s="800" t="s">
        <v>87</v>
      </c>
      <c r="H479" s="800" t="s">
        <v>42</v>
      </c>
      <c r="I479" s="801" t="s">
        <v>43</v>
      </c>
      <c r="J479" s="55"/>
      <c r="K479" s="69">
        <f t="shared" si="151"/>
        <v>65815.199999999997</v>
      </c>
      <c r="L479" s="69">
        <f t="shared" si="151"/>
        <v>1673.8000000000029</v>
      </c>
      <c r="M479" s="69">
        <f t="shared" si="151"/>
        <v>67489</v>
      </c>
    </row>
    <row r="480" spans="1:13" s="167" customFormat="1" ht="36" customHeight="1" x14ac:dyDescent="0.35">
      <c r="A480" s="56"/>
      <c r="B480" s="610" t="s">
        <v>290</v>
      </c>
      <c r="C480" s="68" t="s">
        <v>443</v>
      </c>
      <c r="D480" s="55" t="s">
        <v>221</v>
      </c>
      <c r="E480" s="55" t="s">
        <v>61</v>
      </c>
      <c r="F480" s="799" t="s">
        <v>38</v>
      </c>
      <c r="G480" s="800" t="s">
        <v>87</v>
      </c>
      <c r="H480" s="800" t="s">
        <v>36</v>
      </c>
      <c r="I480" s="801" t="s">
        <v>43</v>
      </c>
      <c r="J480" s="55"/>
      <c r="K480" s="69">
        <f>K481+K492+K485+K494+K487+K483+K489</f>
        <v>65815.199999999997</v>
      </c>
      <c r="L480" s="69">
        <f>L481+L492+L485+L494+L487+L483</f>
        <v>1673.8000000000029</v>
      </c>
      <c r="M480" s="69">
        <f>M481+M492+M485+M494+M487+M483+M489</f>
        <v>67489</v>
      </c>
    </row>
    <row r="481" spans="1:13" s="167" customFormat="1" ht="36" customHeight="1" x14ac:dyDescent="0.35">
      <c r="A481" s="56"/>
      <c r="B481" s="642" t="s">
        <v>484</v>
      </c>
      <c r="C481" s="68" t="s">
        <v>443</v>
      </c>
      <c r="D481" s="55" t="s">
        <v>221</v>
      </c>
      <c r="E481" s="55" t="s">
        <v>61</v>
      </c>
      <c r="F481" s="799" t="s">
        <v>38</v>
      </c>
      <c r="G481" s="800" t="s">
        <v>87</v>
      </c>
      <c r="H481" s="800" t="s">
        <v>36</v>
      </c>
      <c r="I481" s="801" t="s">
        <v>89</v>
      </c>
      <c r="J481" s="55"/>
      <c r="K481" s="69">
        <f>K482</f>
        <v>40696.6</v>
      </c>
      <c r="L481" s="69">
        <f>L482</f>
        <v>1088.8000000000029</v>
      </c>
      <c r="M481" s="69">
        <f>M482</f>
        <v>41785.4</v>
      </c>
    </row>
    <row r="482" spans="1:13" s="167" customFormat="1" ht="54" customHeight="1" x14ac:dyDescent="0.35">
      <c r="A482" s="56"/>
      <c r="B482" s="610" t="s">
        <v>74</v>
      </c>
      <c r="C482" s="68" t="s">
        <v>443</v>
      </c>
      <c r="D482" s="55" t="s">
        <v>221</v>
      </c>
      <c r="E482" s="55" t="s">
        <v>61</v>
      </c>
      <c r="F482" s="799" t="s">
        <v>38</v>
      </c>
      <c r="G482" s="800" t="s">
        <v>87</v>
      </c>
      <c r="H482" s="800" t="s">
        <v>36</v>
      </c>
      <c r="I482" s="801" t="s">
        <v>89</v>
      </c>
      <c r="J482" s="55" t="s">
        <v>75</v>
      </c>
      <c r="K482" s="69">
        <v>40696.6</v>
      </c>
      <c r="L482" s="69">
        <f>M482-K482</f>
        <v>1088.8000000000029</v>
      </c>
      <c r="M482" s="69">
        <f>40696.6+1088.8</f>
        <v>41785.4</v>
      </c>
    </row>
    <row r="483" spans="1:13" s="167" customFormat="1" ht="18" customHeight="1" x14ac:dyDescent="0.35">
      <c r="A483" s="56"/>
      <c r="B483" s="610" t="s">
        <v>485</v>
      </c>
      <c r="C483" s="68" t="s">
        <v>443</v>
      </c>
      <c r="D483" s="55" t="s">
        <v>221</v>
      </c>
      <c r="E483" s="55" t="s">
        <v>61</v>
      </c>
      <c r="F483" s="799" t="s">
        <v>38</v>
      </c>
      <c r="G483" s="800" t="s">
        <v>87</v>
      </c>
      <c r="H483" s="800" t="s">
        <v>36</v>
      </c>
      <c r="I483" s="801" t="s">
        <v>402</v>
      </c>
      <c r="J483" s="55"/>
      <c r="K483" s="69">
        <f>K484</f>
        <v>972.4</v>
      </c>
      <c r="L483" s="69">
        <f t="shared" ref="L483" si="152">L484</f>
        <v>0</v>
      </c>
      <c r="M483" s="69">
        <f>M484</f>
        <v>972.4</v>
      </c>
    </row>
    <row r="484" spans="1:13" s="167" customFormat="1" ht="54" customHeight="1" x14ac:dyDescent="0.35">
      <c r="A484" s="56"/>
      <c r="B484" s="610" t="s">
        <v>74</v>
      </c>
      <c r="C484" s="68" t="s">
        <v>443</v>
      </c>
      <c r="D484" s="55" t="s">
        <v>221</v>
      </c>
      <c r="E484" s="55" t="s">
        <v>61</v>
      </c>
      <c r="F484" s="799" t="s">
        <v>38</v>
      </c>
      <c r="G484" s="800" t="s">
        <v>87</v>
      </c>
      <c r="H484" s="800" t="s">
        <v>36</v>
      </c>
      <c r="I484" s="801" t="s">
        <v>402</v>
      </c>
      <c r="J484" s="55" t="s">
        <v>75</v>
      </c>
      <c r="K484" s="69">
        <v>972.4</v>
      </c>
      <c r="L484" s="69">
        <f>M484-K484</f>
        <v>0</v>
      </c>
      <c r="M484" s="69">
        <v>972.4</v>
      </c>
    </row>
    <row r="485" spans="1:13" s="167" customFormat="1" ht="54" customHeight="1" x14ac:dyDescent="0.35">
      <c r="A485" s="56"/>
      <c r="B485" s="610" t="s">
        <v>205</v>
      </c>
      <c r="C485" s="68" t="s">
        <v>443</v>
      </c>
      <c r="D485" s="55" t="s">
        <v>221</v>
      </c>
      <c r="E485" s="55" t="s">
        <v>61</v>
      </c>
      <c r="F485" s="799" t="s">
        <v>38</v>
      </c>
      <c r="G485" s="800" t="s">
        <v>87</v>
      </c>
      <c r="H485" s="800" t="s">
        <v>36</v>
      </c>
      <c r="I485" s="801" t="s">
        <v>287</v>
      </c>
      <c r="J485" s="55"/>
      <c r="K485" s="69">
        <f>K486</f>
        <v>4638</v>
      </c>
      <c r="L485" s="69">
        <f>L486</f>
        <v>0</v>
      </c>
      <c r="M485" s="69">
        <f>M486</f>
        <v>4638</v>
      </c>
    </row>
    <row r="486" spans="1:13" s="167" customFormat="1" ht="54" customHeight="1" x14ac:dyDescent="0.35">
      <c r="A486" s="56"/>
      <c r="B486" s="677" t="s">
        <v>74</v>
      </c>
      <c r="C486" s="68" t="s">
        <v>443</v>
      </c>
      <c r="D486" s="55" t="s">
        <v>221</v>
      </c>
      <c r="E486" s="55" t="s">
        <v>61</v>
      </c>
      <c r="F486" s="799" t="s">
        <v>38</v>
      </c>
      <c r="G486" s="800" t="s">
        <v>87</v>
      </c>
      <c r="H486" s="800" t="s">
        <v>36</v>
      </c>
      <c r="I486" s="801" t="s">
        <v>287</v>
      </c>
      <c r="J486" s="55" t="s">
        <v>75</v>
      </c>
      <c r="K486" s="69">
        <f>4392+246</f>
        <v>4638</v>
      </c>
      <c r="L486" s="69">
        <f>M486-K486</f>
        <v>0</v>
      </c>
      <c r="M486" s="69">
        <f>4392+246</f>
        <v>4638</v>
      </c>
    </row>
    <row r="487" spans="1:13" s="167" customFormat="1" ht="36" customHeight="1" x14ac:dyDescent="0.35">
      <c r="A487" s="56"/>
      <c r="B487" s="610" t="s">
        <v>206</v>
      </c>
      <c r="C487" s="68" t="s">
        <v>443</v>
      </c>
      <c r="D487" s="55" t="s">
        <v>221</v>
      </c>
      <c r="E487" s="55" t="s">
        <v>61</v>
      </c>
      <c r="F487" s="799" t="s">
        <v>38</v>
      </c>
      <c r="G487" s="800" t="s">
        <v>87</v>
      </c>
      <c r="H487" s="800" t="s">
        <v>36</v>
      </c>
      <c r="I487" s="801" t="s">
        <v>288</v>
      </c>
      <c r="J487" s="55"/>
      <c r="K487" s="69">
        <f>K488</f>
        <v>272.39999999999998</v>
      </c>
      <c r="L487" s="69">
        <f t="shared" ref="L487" si="153">L488</f>
        <v>585</v>
      </c>
      <c r="M487" s="69">
        <f>M488</f>
        <v>857.4</v>
      </c>
    </row>
    <row r="488" spans="1:13" s="167" customFormat="1" ht="54" customHeight="1" x14ac:dyDescent="0.35">
      <c r="A488" s="56"/>
      <c r="B488" s="677" t="s">
        <v>74</v>
      </c>
      <c r="C488" s="68" t="s">
        <v>443</v>
      </c>
      <c r="D488" s="55" t="s">
        <v>221</v>
      </c>
      <c r="E488" s="55" t="s">
        <v>61</v>
      </c>
      <c r="F488" s="799" t="s">
        <v>38</v>
      </c>
      <c r="G488" s="800" t="s">
        <v>87</v>
      </c>
      <c r="H488" s="800" t="s">
        <v>36</v>
      </c>
      <c r="I488" s="801" t="s">
        <v>288</v>
      </c>
      <c r="J488" s="55" t="s">
        <v>75</v>
      </c>
      <c r="K488" s="69">
        <v>272.39999999999998</v>
      </c>
      <c r="L488" s="69">
        <f>M488-K488</f>
        <v>585</v>
      </c>
      <c r="M488" s="69">
        <f>272.4+585</f>
        <v>857.4</v>
      </c>
    </row>
    <row r="489" spans="1:13" s="167" customFormat="1" ht="54" customHeight="1" x14ac:dyDescent="0.35">
      <c r="A489" s="56"/>
      <c r="B489" s="677" t="s">
        <v>689</v>
      </c>
      <c r="C489" s="68" t="s">
        <v>443</v>
      </c>
      <c r="D489" s="55" t="s">
        <v>221</v>
      </c>
      <c r="E489" s="55" t="s">
        <v>61</v>
      </c>
      <c r="F489" s="799" t="s">
        <v>38</v>
      </c>
      <c r="G489" s="800" t="s">
        <v>87</v>
      </c>
      <c r="H489" s="800" t="s">
        <v>36</v>
      </c>
      <c r="I489" s="801" t="s">
        <v>690</v>
      </c>
      <c r="J489" s="55"/>
      <c r="K489" s="69">
        <f>K490+K491</f>
        <v>6127.4999999999991</v>
      </c>
      <c r="L489" s="69">
        <f>L490</f>
        <v>0</v>
      </c>
      <c r="M489" s="69">
        <f>M490+M491</f>
        <v>6127.4999999999991</v>
      </c>
    </row>
    <row r="490" spans="1:13" s="167" customFormat="1" ht="54" customHeight="1" x14ac:dyDescent="0.35">
      <c r="A490" s="56"/>
      <c r="B490" s="677" t="s">
        <v>74</v>
      </c>
      <c r="C490" s="68" t="s">
        <v>443</v>
      </c>
      <c r="D490" s="55" t="s">
        <v>221</v>
      </c>
      <c r="E490" s="55" t="s">
        <v>61</v>
      </c>
      <c r="F490" s="799" t="s">
        <v>38</v>
      </c>
      <c r="G490" s="800" t="s">
        <v>87</v>
      </c>
      <c r="H490" s="800" t="s">
        <v>36</v>
      </c>
      <c r="I490" s="801" t="s">
        <v>690</v>
      </c>
      <c r="J490" s="55" t="s">
        <v>75</v>
      </c>
      <c r="K490" s="69">
        <v>6072.5999999999995</v>
      </c>
      <c r="L490" s="69">
        <f t="shared" ref="L490:L491" si="154">M490-K490</f>
        <v>0</v>
      </c>
      <c r="M490" s="69">
        <v>6072.5999999999995</v>
      </c>
    </row>
    <row r="491" spans="1:13" s="167" customFormat="1" ht="18" x14ac:dyDescent="0.35">
      <c r="A491" s="56"/>
      <c r="B491" s="677" t="s">
        <v>55</v>
      </c>
      <c r="C491" s="68" t="s">
        <v>443</v>
      </c>
      <c r="D491" s="55" t="s">
        <v>221</v>
      </c>
      <c r="E491" s="55" t="s">
        <v>61</v>
      </c>
      <c r="F491" s="799" t="s">
        <v>38</v>
      </c>
      <c r="G491" s="800" t="s">
        <v>87</v>
      </c>
      <c r="H491" s="800" t="s">
        <v>36</v>
      </c>
      <c r="I491" s="801" t="s">
        <v>690</v>
      </c>
      <c r="J491" s="55" t="s">
        <v>56</v>
      </c>
      <c r="K491" s="69">
        <v>54.9</v>
      </c>
      <c r="L491" s="69">
        <f t="shared" si="154"/>
        <v>0</v>
      </c>
      <c r="M491" s="69">
        <v>54.9</v>
      </c>
    </row>
    <row r="492" spans="1:13" s="167" customFormat="1" ht="180" customHeight="1" x14ac:dyDescent="0.35">
      <c r="A492" s="56"/>
      <c r="B492" s="610" t="s">
        <v>282</v>
      </c>
      <c r="C492" s="68" t="s">
        <v>443</v>
      </c>
      <c r="D492" s="55" t="s">
        <v>221</v>
      </c>
      <c r="E492" s="55" t="s">
        <v>61</v>
      </c>
      <c r="F492" s="799" t="s">
        <v>38</v>
      </c>
      <c r="G492" s="800" t="s">
        <v>87</v>
      </c>
      <c r="H492" s="800" t="s">
        <v>36</v>
      </c>
      <c r="I492" s="801" t="s">
        <v>283</v>
      </c>
      <c r="J492" s="55"/>
      <c r="K492" s="69">
        <f>K493</f>
        <v>108.3</v>
      </c>
      <c r="L492" s="69">
        <f t="shared" ref="L492" si="155">L493</f>
        <v>0</v>
      </c>
      <c r="M492" s="69">
        <f>M493</f>
        <v>108.3</v>
      </c>
    </row>
    <row r="493" spans="1:13" s="167" customFormat="1" ht="54" customHeight="1" x14ac:dyDescent="0.35">
      <c r="A493" s="56"/>
      <c r="B493" s="610" t="s">
        <v>74</v>
      </c>
      <c r="C493" s="68" t="s">
        <v>443</v>
      </c>
      <c r="D493" s="55" t="s">
        <v>221</v>
      </c>
      <c r="E493" s="55" t="s">
        <v>61</v>
      </c>
      <c r="F493" s="799" t="s">
        <v>38</v>
      </c>
      <c r="G493" s="800" t="s">
        <v>87</v>
      </c>
      <c r="H493" s="800" t="s">
        <v>36</v>
      </c>
      <c r="I493" s="801" t="s">
        <v>283</v>
      </c>
      <c r="J493" s="55" t="s">
        <v>75</v>
      </c>
      <c r="K493" s="69">
        <v>108.3</v>
      </c>
      <c r="L493" s="69">
        <f>M493-K493</f>
        <v>0</v>
      </c>
      <c r="M493" s="69">
        <v>108.3</v>
      </c>
    </row>
    <row r="494" spans="1:13" s="167" customFormat="1" ht="108" customHeight="1" x14ac:dyDescent="0.35">
      <c r="A494" s="56"/>
      <c r="B494" s="610" t="s">
        <v>365</v>
      </c>
      <c r="C494" s="68" t="s">
        <v>443</v>
      </c>
      <c r="D494" s="55" t="s">
        <v>221</v>
      </c>
      <c r="E494" s="55" t="s">
        <v>61</v>
      </c>
      <c r="F494" s="799" t="s">
        <v>38</v>
      </c>
      <c r="G494" s="800" t="s">
        <v>87</v>
      </c>
      <c r="H494" s="800" t="s">
        <v>36</v>
      </c>
      <c r="I494" s="801" t="s">
        <v>284</v>
      </c>
      <c r="J494" s="55"/>
      <c r="K494" s="69">
        <f>K496+K495</f>
        <v>13000</v>
      </c>
      <c r="L494" s="69">
        <f t="shared" ref="L494" si="156">L496+L495</f>
        <v>0</v>
      </c>
      <c r="M494" s="69">
        <f>M496+M495</f>
        <v>13000</v>
      </c>
    </row>
    <row r="495" spans="1:13" s="167" customFormat="1" ht="108" x14ac:dyDescent="0.35">
      <c r="A495" s="56"/>
      <c r="B495" s="610" t="s">
        <v>48</v>
      </c>
      <c r="C495" s="68" t="s">
        <v>443</v>
      </c>
      <c r="D495" s="55" t="s">
        <v>221</v>
      </c>
      <c r="E495" s="55" t="s">
        <v>61</v>
      </c>
      <c r="F495" s="799" t="s">
        <v>38</v>
      </c>
      <c r="G495" s="800" t="s">
        <v>87</v>
      </c>
      <c r="H495" s="800" t="s">
        <v>36</v>
      </c>
      <c r="I495" s="801" t="s">
        <v>284</v>
      </c>
      <c r="J495" s="55" t="s">
        <v>49</v>
      </c>
      <c r="K495" s="69">
        <v>900</v>
      </c>
      <c r="L495" s="69">
        <f>M495-K495</f>
        <v>0</v>
      </c>
      <c r="M495" s="69">
        <v>900</v>
      </c>
    </row>
    <row r="496" spans="1:13" s="167" customFormat="1" ht="54" customHeight="1" x14ac:dyDescent="0.35">
      <c r="A496" s="56"/>
      <c r="B496" s="610" t="s">
        <v>74</v>
      </c>
      <c r="C496" s="68" t="s">
        <v>443</v>
      </c>
      <c r="D496" s="55" t="s">
        <v>221</v>
      </c>
      <c r="E496" s="55" t="s">
        <v>61</v>
      </c>
      <c r="F496" s="799" t="s">
        <v>38</v>
      </c>
      <c r="G496" s="800" t="s">
        <v>87</v>
      </c>
      <c r="H496" s="800" t="s">
        <v>36</v>
      </c>
      <c r="I496" s="801" t="s">
        <v>284</v>
      </c>
      <c r="J496" s="55" t="s">
        <v>75</v>
      </c>
      <c r="K496" s="69">
        <v>12100</v>
      </c>
      <c r="L496" s="69">
        <f>M496-K496</f>
        <v>0</v>
      </c>
      <c r="M496" s="69">
        <v>12100</v>
      </c>
    </row>
    <row r="497" spans="1:13" s="167" customFormat="1" ht="54" customHeight="1" x14ac:dyDescent="0.35">
      <c r="A497" s="56"/>
      <c r="B497" s="610" t="s">
        <v>542</v>
      </c>
      <c r="C497" s="266" t="s">
        <v>443</v>
      </c>
      <c r="D497" s="73" t="s">
        <v>221</v>
      </c>
      <c r="E497" s="73" t="s">
        <v>63</v>
      </c>
      <c r="F497" s="123"/>
      <c r="G497" s="123"/>
      <c r="H497" s="123"/>
      <c r="I497" s="123"/>
      <c r="J497" s="55"/>
      <c r="K497" s="261">
        <f>K498</f>
        <v>4.5</v>
      </c>
      <c r="L497" s="261">
        <f t="shared" ref="L497:L498" si="157">L498</f>
        <v>0</v>
      </c>
      <c r="M497" s="261">
        <f>M498</f>
        <v>4.5</v>
      </c>
    </row>
    <row r="498" spans="1:13" s="167" customFormat="1" ht="54" customHeight="1" x14ac:dyDescent="0.35">
      <c r="A498" s="56"/>
      <c r="B498" s="610" t="s">
        <v>203</v>
      </c>
      <c r="C498" s="266" t="s">
        <v>443</v>
      </c>
      <c r="D498" s="73" t="s">
        <v>221</v>
      </c>
      <c r="E498" s="73" t="s">
        <v>63</v>
      </c>
      <c r="F498" s="142" t="s">
        <v>38</v>
      </c>
      <c r="G498" s="132" t="s">
        <v>41</v>
      </c>
      <c r="H498" s="132" t="s">
        <v>42</v>
      </c>
      <c r="I498" s="133" t="s">
        <v>43</v>
      </c>
      <c r="J498" s="690"/>
      <c r="K498" s="69">
        <f>K499</f>
        <v>4.5</v>
      </c>
      <c r="L498" s="69">
        <f t="shared" si="157"/>
        <v>0</v>
      </c>
      <c r="M498" s="69">
        <f>M499</f>
        <v>4.5</v>
      </c>
    </row>
    <row r="499" spans="1:13" s="167" customFormat="1" ht="54" customHeight="1" x14ac:dyDescent="0.35">
      <c r="A499" s="56"/>
      <c r="B499" s="610" t="s">
        <v>210</v>
      </c>
      <c r="C499" s="266" t="s">
        <v>443</v>
      </c>
      <c r="D499" s="73" t="s">
        <v>221</v>
      </c>
      <c r="E499" s="73" t="s">
        <v>63</v>
      </c>
      <c r="F499" s="142" t="s">
        <v>38</v>
      </c>
      <c r="G499" s="132" t="s">
        <v>29</v>
      </c>
      <c r="H499" s="132" t="s">
        <v>42</v>
      </c>
      <c r="I499" s="133" t="s">
        <v>43</v>
      </c>
      <c r="J499" s="134"/>
      <c r="K499" s="261">
        <f t="shared" ref="K499:M501" si="158">K500</f>
        <v>4.5</v>
      </c>
      <c r="L499" s="261">
        <f t="shared" si="158"/>
        <v>0</v>
      </c>
      <c r="M499" s="261">
        <f t="shared" si="158"/>
        <v>4.5</v>
      </c>
    </row>
    <row r="500" spans="1:13" s="167" customFormat="1" ht="36" x14ac:dyDescent="0.35">
      <c r="A500" s="56"/>
      <c r="B500" s="610" t="s">
        <v>296</v>
      </c>
      <c r="C500" s="266" t="s">
        <v>443</v>
      </c>
      <c r="D500" s="73" t="s">
        <v>221</v>
      </c>
      <c r="E500" s="73" t="s">
        <v>63</v>
      </c>
      <c r="F500" s="142" t="s">
        <v>38</v>
      </c>
      <c r="G500" s="132" t="s">
        <v>29</v>
      </c>
      <c r="H500" s="132" t="s">
        <v>36</v>
      </c>
      <c r="I500" s="133" t="s">
        <v>43</v>
      </c>
      <c r="J500" s="134"/>
      <c r="K500" s="261">
        <f t="shared" si="158"/>
        <v>4.5</v>
      </c>
      <c r="L500" s="261">
        <f t="shared" si="158"/>
        <v>0</v>
      </c>
      <c r="M500" s="261">
        <f t="shared" si="158"/>
        <v>4.5</v>
      </c>
    </row>
    <row r="501" spans="1:13" s="167" customFormat="1" ht="36" x14ac:dyDescent="0.35">
      <c r="A501" s="56"/>
      <c r="B501" s="642" t="s">
        <v>544</v>
      </c>
      <c r="C501" s="68" t="s">
        <v>443</v>
      </c>
      <c r="D501" s="55" t="s">
        <v>221</v>
      </c>
      <c r="E501" s="55" t="s">
        <v>63</v>
      </c>
      <c r="F501" s="142" t="s">
        <v>38</v>
      </c>
      <c r="G501" s="132" t="s">
        <v>29</v>
      </c>
      <c r="H501" s="132" t="s">
        <v>36</v>
      </c>
      <c r="I501" s="133" t="s">
        <v>543</v>
      </c>
      <c r="J501" s="134"/>
      <c r="K501" s="69">
        <f t="shared" si="158"/>
        <v>4.5</v>
      </c>
      <c r="L501" s="69">
        <f t="shared" si="158"/>
        <v>0</v>
      </c>
      <c r="M501" s="69">
        <f t="shared" si="158"/>
        <v>4.5</v>
      </c>
    </row>
    <row r="502" spans="1:13" s="167" customFormat="1" ht="54" customHeight="1" x14ac:dyDescent="0.35">
      <c r="A502" s="56"/>
      <c r="B502" s="610" t="s">
        <v>53</v>
      </c>
      <c r="C502" s="68" t="s">
        <v>443</v>
      </c>
      <c r="D502" s="55" t="s">
        <v>221</v>
      </c>
      <c r="E502" s="55" t="s">
        <v>63</v>
      </c>
      <c r="F502" s="187" t="s">
        <v>38</v>
      </c>
      <c r="G502" s="185" t="s">
        <v>29</v>
      </c>
      <c r="H502" s="185" t="s">
        <v>36</v>
      </c>
      <c r="I502" s="186" t="s">
        <v>543</v>
      </c>
      <c r="J502" s="586" t="s">
        <v>54</v>
      </c>
      <c r="K502" s="69">
        <v>4.5</v>
      </c>
      <c r="L502" s="69">
        <f>M502-K502</f>
        <v>0</v>
      </c>
      <c r="M502" s="69">
        <v>4.5</v>
      </c>
    </row>
    <row r="503" spans="1:13" s="167" customFormat="1" ht="18" customHeight="1" x14ac:dyDescent="0.35">
      <c r="A503" s="56"/>
      <c r="B503" s="610" t="s">
        <v>184</v>
      </c>
      <c r="C503" s="68" t="s">
        <v>443</v>
      </c>
      <c r="D503" s="55" t="s">
        <v>221</v>
      </c>
      <c r="E503" s="55" t="s">
        <v>77</v>
      </c>
      <c r="F503" s="799"/>
      <c r="G503" s="800"/>
      <c r="H503" s="800"/>
      <c r="I503" s="801"/>
      <c r="J503" s="55"/>
      <c r="K503" s="69">
        <f>K504</f>
        <v>97778.550000000017</v>
      </c>
      <c r="L503" s="69">
        <f t="shared" ref="L503" si="159">L504</f>
        <v>2703.6</v>
      </c>
      <c r="M503" s="69">
        <f>M504</f>
        <v>100482.15000000002</v>
      </c>
    </row>
    <row r="504" spans="1:13" s="167" customFormat="1" ht="54" customHeight="1" x14ac:dyDescent="0.35">
      <c r="A504" s="56"/>
      <c r="B504" s="610" t="s">
        <v>203</v>
      </c>
      <c r="C504" s="68" t="s">
        <v>443</v>
      </c>
      <c r="D504" s="55" t="s">
        <v>221</v>
      </c>
      <c r="E504" s="55" t="s">
        <v>77</v>
      </c>
      <c r="F504" s="799" t="s">
        <v>38</v>
      </c>
      <c r="G504" s="800" t="s">
        <v>41</v>
      </c>
      <c r="H504" s="800" t="s">
        <v>42</v>
      </c>
      <c r="I504" s="801" t="s">
        <v>43</v>
      </c>
      <c r="J504" s="55"/>
      <c r="K504" s="69">
        <f>K509+K505</f>
        <v>97778.550000000017</v>
      </c>
      <c r="L504" s="69">
        <f t="shared" ref="L504" si="160">L509+L505</f>
        <v>2703.6</v>
      </c>
      <c r="M504" s="69">
        <f>M509+M505</f>
        <v>100482.15000000002</v>
      </c>
    </row>
    <row r="505" spans="1:13" s="167" customFormat="1" ht="18" customHeight="1" x14ac:dyDescent="0.35">
      <c r="A505" s="56"/>
      <c r="B505" s="610" t="s">
        <v>208</v>
      </c>
      <c r="C505" s="68" t="s">
        <v>443</v>
      </c>
      <c r="D505" s="55" t="s">
        <v>221</v>
      </c>
      <c r="E505" s="55" t="s">
        <v>77</v>
      </c>
      <c r="F505" s="799" t="s">
        <v>38</v>
      </c>
      <c r="G505" s="800" t="s">
        <v>87</v>
      </c>
      <c r="H505" s="800" t="s">
        <v>42</v>
      </c>
      <c r="I505" s="801" t="s">
        <v>43</v>
      </c>
      <c r="J505" s="55"/>
      <c r="K505" s="69">
        <f t="shared" ref="K505:M507" si="161">K506</f>
        <v>54</v>
      </c>
      <c r="L505" s="69">
        <f t="shared" si="161"/>
        <v>0</v>
      </c>
      <c r="M505" s="69">
        <f t="shared" si="161"/>
        <v>54</v>
      </c>
    </row>
    <row r="506" spans="1:13" s="167" customFormat="1" ht="18" customHeight="1" x14ac:dyDescent="0.35">
      <c r="A506" s="56"/>
      <c r="B506" s="610" t="s">
        <v>291</v>
      </c>
      <c r="C506" s="68" t="s">
        <v>443</v>
      </c>
      <c r="D506" s="55" t="s">
        <v>221</v>
      </c>
      <c r="E506" s="55" t="s">
        <v>77</v>
      </c>
      <c r="F506" s="799" t="s">
        <v>38</v>
      </c>
      <c r="G506" s="800" t="s">
        <v>87</v>
      </c>
      <c r="H506" s="800" t="s">
        <v>38</v>
      </c>
      <c r="I506" s="801" t="s">
        <v>43</v>
      </c>
      <c r="J506" s="55"/>
      <c r="K506" s="69">
        <f t="shared" si="161"/>
        <v>54</v>
      </c>
      <c r="L506" s="69">
        <f t="shared" si="161"/>
        <v>0</v>
      </c>
      <c r="M506" s="69">
        <f t="shared" si="161"/>
        <v>54</v>
      </c>
    </row>
    <row r="507" spans="1:13" s="167" customFormat="1" ht="36" customHeight="1" x14ac:dyDescent="0.35">
      <c r="A507" s="56"/>
      <c r="B507" s="610" t="s">
        <v>292</v>
      </c>
      <c r="C507" s="68" t="s">
        <v>443</v>
      </c>
      <c r="D507" s="55" t="s">
        <v>221</v>
      </c>
      <c r="E507" s="55" t="s">
        <v>77</v>
      </c>
      <c r="F507" s="799" t="s">
        <v>38</v>
      </c>
      <c r="G507" s="800" t="s">
        <v>87</v>
      </c>
      <c r="H507" s="800" t="s">
        <v>38</v>
      </c>
      <c r="I507" s="801" t="s">
        <v>293</v>
      </c>
      <c r="J507" s="55"/>
      <c r="K507" s="69">
        <f t="shared" si="161"/>
        <v>54</v>
      </c>
      <c r="L507" s="69">
        <f t="shared" si="161"/>
        <v>0</v>
      </c>
      <c r="M507" s="69">
        <f t="shared" si="161"/>
        <v>54</v>
      </c>
    </row>
    <row r="508" spans="1:13" s="167" customFormat="1" ht="36" customHeight="1" x14ac:dyDescent="0.35">
      <c r="A508" s="56"/>
      <c r="B508" s="610" t="s">
        <v>118</v>
      </c>
      <c r="C508" s="68" t="s">
        <v>443</v>
      </c>
      <c r="D508" s="55" t="s">
        <v>221</v>
      </c>
      <c r="E508" s="55" t="s">
        <v>77</v>
      </c>
      <c r="F508" s="799" t="s">
        <v>38</v>
      </c>
      <c r="G508" s="800" t="s">
        <v>87</v>
      </c>
      <c r="H508" s="800" t="s">
        <v>38</v>
      </c>
      <c r="I508" s="801" t="s">
        <v>293</v>
      </c>
      <c r="J508" s="55" t="s">
        <v>119</v>
      </c>
      <c r="K508" s="69">
        <v>54</v>
      </c>
      <c r="L508" s="69">
        <f>M508-K508</f>
        <v>0</v>
      </c>
      <c r="M508" s="69">
        <v>54</v>
      </c>
    </row>
    <row r="509" spans="1:13" s="167" customFormat="1" ht="54" customHeight="1" x14ac:dyDescent="0.35">
      <c r="A509" s="56"/>
      <c r="B509" s="610" t="s">
        <v>210</v>
      </c>
      <c r="C509" s="68" t="s">
        <v>443</v>
      </c>
      <c r="D509" s="55" t="s">
        <v>221</v>
      </c>
      <c r="E509" s="55" t="s">
        <v>77</v>
      </c>
      <c r="F509" s="799" t="s">
        <v>38</v>
      </c>
      <c r="G509" s="800" t="s">
        <v>29</v>
      </c>
      <c r="H509" s="800" t="s">
        <v>42</v>
      </c>
      <c r="I509" s="801" t="s">
        <v>43</v>
      </c>
      <c r="J509" s="55"/>
      <c r="K509" s="69">
        <f>K510+K528</f>
        <v>97724.550000000017</v>
      </c>
      <c r="L509" s="69">
        <f t="shared" ref="L509" si="162">L510+L528</f>
        <v>2703.6</v>
      </c>
      <c r="M509" s="69">
        <f>M510+M528</f>
        <v>100428.15000000002</v>
      </c>
    </row>
    <row r="510" spans="1:13" s="167" customFormat="1" ht="36" customHeight="1" x14ac:dyDescent="0.35">
      <c r="A510" s="56"/>
      <c r="B510" s="610" t="s">
        <v>296</v>
      </c>
      <c r="C510" s="68" t="s">
        <v>443</v>
      </c>
      <c r="D510" s="55" t="s">
        <v>221</v>
      </c>
      <c r="E510" s="55" t="s">
        <v>77</v>
      </c>
      <c r="F510" s="799" t="s">
        <v>38</v>
      </c>
      <c r="G510" s="800" t="s">
        <v>29</v>
      </c>
      <c r="H510" s="800" t="s">
        <v>36</v>
      </c>
      <c r="I510" s="801" t="s">
        <v>43</v>
      </c>
      <c r="J510" s="55"/>
      <c r="K510" s="69">
        <f>K511+K515+K525+K520</f>
        <v>89913.250000000015</v>
      </c>
      <c r="L510" s="69">
        <f>L511+L515+L525+L520+L523</f>
        <v>2552.1</v>
      </c>
      <c r="M510" s="69">
        <f>M511+M515+M525+M520+M523</f>
        <v>92465.35000000002</v>
      </c>
    </row>
    <row r="511" spans="1:13" s="167" customFormat="1" ht="36" customHeight="1" x14ac:dyDescent="0.35">
      <c r="A511" s="56"/>
      <c r="B511" s="610" t="s">
        <v>46</v>
      </c>
      <c r="C511" s="68" t="s">
        <v>443</v>
      </c>
      <c r="D511" s="55" t="s">
        <v>221</v>
      </c>
      <c r="E511" s="55" t="s">
        <v>77</v>
      </c>
      <c r="F511" s="799" t="s">
        <v>38</v>
      </c>
      <c r="G511" s="800" t="s">
        <v>29</v>
      </c>
      <c r="H511" s="800" t="s">
        <v>36</v>
      </c>
      <c r="I511" s="801" t="s">
        <v>47</v>
      </c>
      <c r="J511" s="55"/>
      <c r="K511" s="69">
        <f>K512+K513+K514</f>
        <v>13705.739</v>
      </c>
      <c r="L511" s="69">
        <f t="shared" ref="L511" si="163">L512+L513+L514</f>
        <v>0</v>
      </c>
      <c r="M511" s="69">
        <f>M512+M513+M514</f>
        <v>13705.739</v>
      </c>
    </row>
    <row r="512" spans="1:13" s="167" customFormat="1" ht="108" customHeight="1" x14ac:dyDescent="0.35">
      <c r="A512" s="56"/>
      <c r="B512" s="610" t="s">
        <v>48</v>
      </c>
      <c r="C512" s="68" t="s">
        <v>443</v>
      </c>
      <c r="D512" s="55" t="s">
        <v>221</v>
      </c>
      <c r="E512" s="55" t="s">
        <v>77</v>
      </c>
      <c r="F512" s="799" t="s">
        <v>38</v>
      </c>
      <c r="G512" s="800" t="s">
        <v>29</v>
      </c>
      <c r="H512" s="800" t="s">
        <v>36</v>
      </c>
      <c r="I512" s="801" t="s">
        <v>47</v>
      </c>
      <c r="J512" s="55" t="s">
        <v>49</v>
      </c>
      <c r="K512" s="69">
        <f>12837.9+43.6</f>
        <v>12881.5</v>
      </c>
      <c r="L512" s="69">
        <f>M512-K512</f>
        <v>0</v>
      </c>
      <c r="M512" s="69">
        <f>12837.9+43.6</f>
        <v>12881.5</v>
      </c>
    </row>
    <row r="513" spans="1:13" s="167" customFormat="1" ht="54" customHeight="1" x14ac:dyDescent="0.35">
      <c r="A513" s="56"/>
      <c r="B513" s="610" t="s">
        <v>53</v>
      </c>
      <c r="C513" s="68" t="s">
        <v>443</v>
      </c>
      <c r="D513" s="55" t="s">
        <v>221</v>
      </c>
      <c r="E513" s="55" t="s">
        <v>77</v>
      </c>
      <c r="F513" s="799" t="s">
        <v>38</v>
      </c>
      <c r="G513" s="800" t="s">
        <v>29</v>
      </c>
      <c r="H513" s="800" t="s">
        <v>36</v>
      </c>
      <c r="I513" s="801" t="s">
        <v>47</v>
      </c>
      <c r="J513" s="55" t="s">
        <v>54</v>
      </c>
      <c r="K513" s="69">
        <f>805.5+2.239</f>
        <v>807.73900000000003</v>
      </c>
      <c r="L513" s="69">
        <f>M513-K513</f>
        <v>0</v>
      </c>
      <c r="M513" s="69">
        <f>805.5+2.239</f>
        <v>807.73900000000003</v>
      </c>
    </row>
    <row r="514" spans="1:13" s="167" customFormat="1" ht="18" customHeight="1" x14ac:dyDescent="0.35">
      <c r="A514" s="56"/>
      <c r="B514" s="610" t="s">
        <v>55</v>
      </c>
      <c r="C514" s="68" t="s">
        <v>443</v>
      </c>
      <c r="D514" s="55" t="s">
        <v>221</v>
      </c>
      <c r="E514" s="55" t="s">
        <v>77</v>
      </c>
      <c r="F514" s="799" t="s">
        <v>38</v>
      </c>
      <c r="G514" s="800" t="s">
        <v>29</v>
      </c>
      <c r="H514" s="800" t="s">
        <v>36</v>
      </c>
      <c r="I514" s="801" t="s">
        <v>47</v>
      </c>
      <c r="J514" s="55" t="s">
        <v>56</v>
      </c>
      <c r="K514" s="69">
        <v>16.5</v>
      </c>
      <c r="L514" s="69">
        <f>M514-K514</f>
        <v>0</v>
      </c>
      <c r="M514" s="69">
        <v>16.5</v>
      </c>
    </row>
    <row r="515" spans="1:13" s="167" customFormat="1" ht="36" customHeight="1" x14ac:dyDescent="0.35">
      <c r="A515" s="56"/>
      <c r="B515" s="642" t="s">
        <v>484</v>
      </c>
      <c r="C515" s="68" t="s">
        <v>443</v>
      </c>
      <c r="D515" s="55" t="s">
        <v>221</v>
      </c>
      <c r="E515" s="55" t="s">
        <v>77</v>
      </c>
      <c r="F515" s="799" t="s">
        <v>38</v>
      </c>
      <c r="G515" s="800" t="s">
        <v>29</v>
      </c>
      <c r="H515" s="800" t="s">
        <v>36</v>
      </c>
      <c r="I515" s="801" t="s">
        <v>89</v>
      </c>
      <c r="J515" s="55"/>
      <c r="K515" s="69">
        <f>K516+K517+K519+K518</f>
        <v>64034.411000000007</v>
      </c>
      <c r="L515" s="69">
        <f t="shared" ref="L515" si="164">L516+L517+L519+L518</f>
        <v>2033.5</v>
      </c>
      <c r="M515" s="69">
        <f>M516+M517+M519+M518</f>
        <v>66067.911000000007</v>
      </c>
    </row>
    <row r="516" spans="1:13" s="167" customFormat="1" ht="108" customHeight="1" x14ac:dyDescent="0.35">
      <c r="A516" s="56"/>
      <c r="B516" s="610" t="s">
        <v>48</v>
      </c>
      <c r="C516" s="68" t="s">
        <v>443</v>
      </c>
      <c r="D516" s="55" t="s">
        <v>221</v>
      </c>
      <c r="E516" s="55" t="s">
        <v>77</v>
      </c>
      <c r="F516" s="799" t="s">
        <v>38</v>
      </c>
      <c r="G516" s="800" t="s">
        <v>29</v>
      </c>
      <c r="H516" s="800" t="s">
        <v>36</v>
      </c>
      <c r="I516" s="801" t="s">
        <v>89</v>
      </c>
      <c r="J516" s="55" t="s">
        <v>49</v>
      </c>
      <c r="K516" s="69">
        <f>38846.2+48.1</f>
        <v>38894.299999999996</v>
      </c>
      <c r="L516" s="69">
        <f>M516-K516</f>
        <v>2033.5</v>
      </c>
      <c r="M516" s="69">
        <f>38846.2+48.1+2033.5</f>
        <v>40927.799999999996</v>
      </c>
    </row>
    <row r="517" spans="1:13" s="167" customFormat="1" ht="54" customHeight="1" x14ac:dyDescent="0.35">
      <c r="A517" s="56"/>
      <c r="B517" s="610" t="s">
        <v>53</v>
      </c>
      <c r="C517" s="68" t="s">
        <v>443</v>
      </c>
      <c r="D517" s="55" t="s">
        <v>221</v>
      </c>
      <c r="E517" s="55" t="s">
        <v>77</v>
      </c>
      <c r="F517" s="799" t="s">
        <v>38</v>
      </c>
      <c r="G517" s="800" t="s">
        <v>29</v>
      </c>
      <c r="H517" s="800" t="s">
        <v>36</v>
      </c>
      <c r="I517" s="801" t="s">
        <v>89</v>
      </c>
      <c r="J517" s="55" t="s">
        <v>54</v>
      </c>
      <c r="K517" s="69">
        <f>3258.2+6.511</f>
        <v>3264.7109999999998</v>
      </c>
      <c r="L517" s="69">
        <f>M517-K517</f>
        <v>0</v>
      </c>
      <c r="M517" s="69">
        <f>3258.2+6.511</f>
        <v>3264.7109999999998</v>
      </c>
    </row>
    <row r="518" spans="1:13" s="167" customFormat="1" ht="54" customHeight="1" x14ac:dyDescent="0.35">
      <c r="A518" s="56"/>
      <c r="B518" s="610" t="s">
        <v>74</v>
      </c>
      <c r="C518" s="68" t="s">
        <v>443</v>
      </c>
      <c r="D518" s="55" t="s">
        <v>221</v>
      </c>
      <c r="E518" s="55" t="s">
        <v>77</v>
      </c>
      <c r="F518" s="799" t="s">
        <v>38</v>
      </c>
      <c r="G518" s="800" t="s">
        <v>29</v>
      </c>
      <c r="H518" s="800" t="s">
        <v>36</v>
      </c>
      <c r="I518" s="801" t="s">
        <v>89</v>
      </c>
      <c r="J518" s="55" t="s">
        <v>75</v>
      </c>
      <c r="K518" s="69">
        <f>20856.4+14.2+1000</f>
        <v>21870.600000000002</v>
      </c>
      <c r="L518" s="69">
        <f>M518-K518</f>
        <v>0</v>
      </c>
      <c r="M518" s="69">
        <f>20856.4+14.2+1000</f>
        <v>21870.600000000002</v>
      </c>
    </row>
    <row r="519" spans="1:13" s="167" customFormat="1" ht="18" customHeight="1" x14ac:dyDescent="0.35">
      <c r="A519" s="56"/>
      <c r="B519" s="610" t="s">
        <v>55</v>
      </c>
      <c r="C519" s="68" t="s">
        <v>443</v>
      </c>
      <c r="D519" s="55" t="s">
        <v>221</v>
      </c>
      <c r="E519" s="55" t="s">
        <v>77</v>
      </c>
      <c r="F519" s="799" t="s">
        <v>38</v>
      </c>
      <c r="G519" s="800" t="s">
        <v>29</v>
      </c>
      <c r="H519" s="800" t="s">
        <v>36</v>
      </c>
      <c r="I519" s="801" t="s">
        <v>89</v>
      </c>
      <c r="J519" s="55" t="s">
        <v>56</v>
      </c>
      <c r="K519" s="69">
        <v>4.8</v>
      </c>
      <c r="L519" s="69">
        <f>M519-K519</f>
        <v>0</v>
      </c>
      <c r="M519" s="69">
        <v>4.8</v>
      </c>
    </row>
    <row r="520" spans="1:13" s="167" customFormat="1" ht="36" customHeight="1" x14ac:dyDescent="0.35">
      <c r="A520" s="56"/>
      <c r="B520" s="610" t="s">
        <v>206</v>
      </c>
      <c r="C520" s="68" t="s">
        <v>443</v>
      </c>
      <c r="D520" s="55" t="s">
        <v>221</v>
      </c>
      <c r="E520" s="55" t="s">
        <v>77</v>
      </c>
      <c r="F520" s="799" t="s">
        <v>38</v>
      </c>
      <c r="G520" s="800" t="s">
        <v>29</v>
      </c>
      <c r="H520" s="800" t="s">
        <v>36</v>
      </c>
      <c r="I520" s="801" t="s">
        <v>288</v>
      </c>
      <c r="J520" s="55"/>
      <c r="K520" s="69">
        <f>K521+K522</f>
        <v>4213.8</v>
      </c>
      <c r="L520" s="69">
        <f t="shared" ref="L520" si="165">L521+L522</f>
        <v>0</v>
      </c>
      <c r="M520" s="69">
        <f>M521+M522</f>
        <v>4213.8</v>
      </c>
    </row>
    <row r="521" spans="1:13" s="167" customFormat="1" ht="54" customHeight="1" x14ac:dyDescent="0.35">
      <c r="A521" s="56"/>
      <c r="B521" s="610" t="s">
        <v>53</v>
      </c>
      <c r="C521" s="68" t="s">
        <v>443</v>
      </c>
      <c r="D521" s="55" t="s">
        <v>221</v>
      </c>
      <c r="E521" s="55" t="s">
        <v>77</v>
      </c>
      <c r="F521" s="799" t="s">
        <v>38</v>
      </c>
      <c r="G521" s="800" t="s">
        <v>29</v>
      </c>
      <c r="H521" s="800" t="s">
        <v>36</v>
      </c>
      <c r="I521" s="801" t="s">
        <v>288</v>
      </c>
      <c r="J521" s="55" t="s">
        <v>54</v>
      </c>
      <c r="K521" s="69">
        <v>10</v>
      </c>
      <c r="L521" s="69">
        <f>M521-K521</f>
        <v>0</v>
      </c>
      <c r="M521" s="69">
        <v>10</v>
      </c>
    </row>
    <row r="522" spans="1:13" s="167" customFormat="1" ht="54" customHeight="1" x14ac:dyDescent="0.35">
      <c r="A522" s="56"/>
      <c r="B522" s="610" t="s">
        <v>74</v>
      </c>
      <c r="C522" s="68" t="s">
        <v>443</v>
      </c>
      <c r="D522" s="55" t="s">
        <v>221</v>
      </c>
      <c r="E522" s="55" t="s">
        <v>77</v>
      </c>
      <c r="F522" s="799" t="s">
        <v>38</v>
      </c>
      <c r="G522" s="800" t="s">
        <v>29</v>
      </c>
      <c r="H522" s="800" t="s">
        <v>36</v>
      </c>
      <c r="I522" s="801" t="s">
        <v>288</v>
      </c>
      <c r="J522" s="55" t="s">
        <v>75</v>
      </c>
      <c r="K522" s="69">
        <f>313.8+3890</f>
        <v>4203.8</v>
      </c>
      <c r="L522" s="69">
        <f>M522-K522</f>
        <v>0</v>
      </c>
      <c r="M522" s="69">
        <f>313.8+3890</f>
        <v>4203.8</v>
      </c>
    </row>
    <row r="523" spans="1:13" s="167" customFormat="1" ht="54" customHeight="1" x14ac:dyDescent="0.35">
      <c r="A523" s="56"/>
      <c r="B523" s="610" t="s">
        <v>733</v>
      </c>
      <c r="C523" s="68" t="s">
        <v>443</v>
      </c>
      <c r="D523" s="55" t="s">
        <v>221</v>
      </c>
      <c r="E523" s="55" t="s">
        <v>77</v>
      </c>
      <c r="F523" s="799" t="s">
        <v>38</v>
      </c>
      <c r="G523" s="800" t="s">
        <v>29</v>
      </c>
      <c r="H523" s="800" t="s">
        <v>36</v>
      </c>
      <c r="I523" s="801" t="s">
        <v>734</v>
      </c>
      <c r="J523" s="55"/>
      <c r="K523" s="69">
        <f>K524</f>
        <v>0</v>
      </c>
      <c r="L523" s="69">
        <f>L524</f>
        <v>518.6</v>
      </c>
      <c r="M523" s="69">
        <f>M524</f>
        <v>518.6</v>
      </c>
    </row>
    <row r="524" spans="1:13" s="167" customFormat="1" ht="54" customHeight="1" x14ac:dyDescent="0.35">
      <c r="A524" s="56"/>
      <c r="B524" s="610" t="s">
        <v>74</v>
      </c>
      <c r="C524" s="68" t="s">
        <v>443</v>
      </c>
      <c r="D524" s="55" t="s">
        <v>221</v>
      </c>
      <c r="E524" s="55" t="s">
        <v>77</v>
      </c>
      <c r="F524" s="799" t="s">
        <v>38</v>
      </c>
      <c r="G524" s="800" t="s">
        <v>29</v>
      </c>
      <c r="H524" s="800" t="s">
        <v>36</v>
      </c>
      <c r="I524" s="801" t="s">
        <v>734</v>
      </c>
      <c r="J524" s="55" t="s">
        <v>75</v>
      </c>
      <c r="K524" s="69">
        <v>0</v>
      </c>
      <c r="L524" s="69">
        <f>M524-K524</f>
        <v>518.6</v>
      </c>
      <c r="M524" s="69">
        <v>518.6</v>
      </c>
    </row>
    <row r="525" spans="1:13" s="167" customFormat="1" ht="108" customHeight="1" x14ac:dyDescent="0.35">
      <c r="A525" s="56"/>
      <c r="B525" s="610" t="s">
        <v>365</v>
      </c>
      <c r="C525" s="68" t="s">
        <v>443</v>
      </c>
      <c r="D525" s="55" t="s">
        <v>221</v>
      </c>
      <c r="E525" s="55" t="s">
        <v>77</v>
      </c>
      <c r="F525" s="799" t="s">
        <v>38</v>
      </c>
      <c r="G525" s="800" t="s">
        <v>29</v>
      </c>
      <c r="H525" s="800" t="s">
        <v>36</v>
      </c>
      <c r="I525" s="801" t="s">
        <v>284</v>
      </c>
      <c r="J525" s="55"/>
      <c r="K525" s="69">
        <f>K526+K527</f>
        <v>7959.3</v>
      </c>
      <c r="L525" s="69">
        <f t="shared" ref="L525" si="166">L526+L527</f>
        <v>0</v>
      </c>
      <c r="M525" s="69">
        <f>M526+M527</f>
        <v>7959.3</v>
      </c>
    </row>
    <row r="526" spans="1:13" s="167" customFormat="1" ht="108" customHeight="1" x14ac:dyDescent="0.35">
      <c r="A526" s="56"/>
      <c r="B526" s="610" t="s">
        <v>48</v>
      </c>
      <c r="C526" s="68" t="s">
        <v>443</v>
      </c>
      <c r="D526" s="55" t="s">
        <v>221</v>
      </c>
      <c r="E526" s="55" t="s">
        <v>77</v>
      </c>
      <c r="F526" s="799" t="s">
        <v>38</v>
      </c>
      <c r="G526" s="800" t="s">
        <v>29</v>
      </c>
      <c r="H526" s="800" t="s">
        <v>36</v>
      </c>
      <c r="I526" s="801" t="s">
        <v>284</v>
      </c>
      <c r="J526" s="55" t="s">
        <v>49</v>
      </c>
      <c r="K526" s="69">
        <v>7200</v>
      </c>
      <c r="L526" s="69">
        <f>M526-K526</f>
        <v>0</v>
      </c>
      <c r="M526" s="69">
        <v>7200</v>
      </c>
    </row>
    <row r="527" spans="1:13" s="167" customFormat="1" ht="54" customHeight="1" x14ac:dyDescent="0.35">
      <c r="A527" s="56"/>
      <c r="B527" s="610" t="s">
        <v>53</v>
      </c>
      <c r="C527" s="68" t="s">
        <v>443</v>
      </c>
      <c r="D527" s="55" t="s">
        <v>221</v>
      </c>
      <c r="E527" s="55" t="s">
        <v>77</v>
      </c>
      <c r="F527" s="799" t="s">
        <v>38</v>
      </c>
      <c r="G527" s="800" t="s">
        <v>29</v>
      </c>
      <c r="H527" s="800" t="s">
        <v>36</v>
      </c>
      <c r="I527" s="801" t="s">
        <v>284</v>
      </c>
      <c r="J527" s="55" t="s">
        <v>54</v>
      </c>
      <c r="K527" s="69">
        <v>759.3</v>
      </c>
      <c r="L527" s="69">
        <f>M527-K527</f>
        <v>0</v>
      </c>
      <c r="M527" s="69">
        <v>759.3</v>
      </c>
    </row>
    <row r="528" spans="1:13" s="167" customFormat="1" ht="54" customHeight="1" x14ac:dyDescent="0.35">
      <c r="A528" s="56"/>
      <c r="B528" s="607" t="s">
        <v>295</v>
      </c>
      <c r="C528" s="266" t="s">
        <v>443</v>
      </c>
      <c r="D528" s="73" t="s">
        <v>221</v>
      </c>
      <c r="E528" s="73" t="s">
        <v>77</v>
      </c>
      <c r="F528" s="258" t="s">
        <v>38</v>
      </c>
      <c r="G528" s="259" t="s">
        <v>29</v>
      </c>
      <c r="H528" s="259" t="s">
        <v>38</v>
      </c>
      <c r="I528" s="260" t="s">
        <v>43</v>
      </c>
      <c r="J528" s="73"/>
      <c r="K528" s="261">
        <f>K529+K531</f>
        <v>7811.3</v>
      </c>
      <c r="L528" s="261">
        <f t="shared" ref="L528" si="167">L529+L531</f>
        <v>151.5</v>
      </c>
      <c r="M528" s="261">
        <f>M529+M531</f>
        <v>7962.8</v>
      </c>
    </row>
    <row r="529" spans="1:13" s="167" customFormat="1" ht="36" customHeight="1" x14ac:dyDescent="0.35">
      <c r="A529" s="56"/>
      <c r="B529" s="607" t="s">
        <v>490</v>
      </c>
      <c r="C529" s="266" t="s">
        <v>443</v>
      </c>
      <c r="D529" s="73" t="s">
        <v>221</v>
      </c>
      <c r="E529" s="73" t="s">
        <v>77</v>
      </c>
      <c r="F529" s="258" t="s">
        <v>38</v>
      </c>
      <c r="G529" s="259" t="s">
        <v>29</v>
      </c>
      <c r="H529" s="259" t="s">
        <v>38</v>
      </c>
      <c r="I529" s="260" t="s">
        <v>489</v>
      </c>
      <c r="J529" s="73"/>
      <c r="K529" s="261">
        <f>K530</f>
        <v>2243.3000000000002</v>
      </c>
      <c r="L529" s="261">
        <f t="shared" ref="L529" si="168">L530</f>
        <v>151.5</v>
      </c>
      <c r="M529" s="261">
        <f>M530</f>
        <v>2394.8000000000002</v>
      </c>
    </row>
    <row r="530" spans="1:13" s="167" customFormat="1" ht="54" customHeight="1" x14ac:dyDescent="0.35">
      <c r="A530" s="56"/>
      <c r="B530" s="607" t="s">
        <v>74</v>
      </c>
      <c r="C530" s="266" t="s">
        <v>443</v>
      </c>
      <c r="D530" s="73" t="s">
        <v>221</v>
      </c>
      <c r="E530" s="73" t="s">
        <v>77</v>
      </c>
      <c r="F530" s="258" t="s">
        <v>38</v>
      </c>
      <c r="G530" s="259" t="s">
        <v>29</v>
      </c>
      <c r="H530" s="259" t="s">
        <v>38</v>
      </c>
      <c r="I530" s="260" t="s">
        <v>489</v>
      </c>
      <c r="J530" s="73" t="s">
        <v>75</v>
      </c>
      <c r="K530" s="261">
        <v>2243.3000000000002</v>
      </c>
      <c r="L530" s="69">
        <f>M530-K530</f>
        <v>151.5</v>
      </c>
      <c r="M530" s="261">
        <f>2243.3+151.5</f>
        <v>2394.8000000000002</v>
      </c>
    </row>
    <row r="531" spans="1:13" s="167" customFormat="1" ht="108" customHeight="1" x14ac:dyDescent="0.35">
      <c r="A531" s="56"/>
      <c r="B531" s="607" t="s">
        <v>461</v>
      </c>
      <c r="C531" s="266" t="s">
        <v>443</v>
      </c>
      <c r="D531" s="73" t="s">
        <v>221</v>
      </c>
      <c r="E531" s="73" t="s">
        <v>77</v>
      </c>
      <c r="F531" s="258" t="s">
        <v>38</v>
      </c>
      <c r="G531" s="259" t="s">
        <v>29</v>
      </c>
      <c r="H531" s="259" t="s">
        <v>38</v>
      </c>
      <c r="I531" s="260" t="s">
        <v>460</v>
      </c>
      <c r="J531" s="73"/>
      <c r="K531" s="261">
        <f>K532</f>
        <v>5568</v>
      </c>
      <c r="L531" s="261">
        <f t="shared" ref="L531" si="169">L532</f>
        <v>0</v>
      </c>
      <c r="M531" s="261">
        <f>M532</f>
        <v>5568</v>
      </c>
    </row>
    <row r="532" spans="1:13" s="167" customFormat="1" ht="54" customHeight="1" x14ac:dyDescent="0.35">
      <c r="A532" s="56"/>
      <c r="B532" s="607" t="s">
        <v>74</v>
      </c>
      <c r="C532" s="266" t="s">
        <v>443</v>
      </c>
      <c r="D532" s="73" t="s">
        <v>221</v>
      </c>
      <c r="E532" s="73" t="s">
        <v>77</v>
      </c>
      <c r="F532" s="258" t="s">
        <v>38</v>
      </c>
      <c r="G532" s="259" t="s">
        <v>29</v>
      </c>
      <c r="H532" s="259" t="s">
        <v>38</v>
      </c>
      <c r="I532" s="260" t="s">
        <v>460</v>
      </c>
      <c r="J532" s="73" t="s">
        <v>75</v>
      </c>
      <c r="K532" s="261">
        <v>5568</v>
      </c>
      <c r="L532" s="69">
        <f>M532-K532</f>
        <v>0</v>
      </c>
      <c r="M532" s="261">
        <v>5568</v>
      </c>
    </row>
    <row r="533" spans="1:13" s="167" customFormat="1" ht="18" customHeight="1" x14ac:dyDescent="0.35">
      <c r="A533" s="56"/>
      <c r="B533" s="658" t="s">
        <v>117</v>
      </c>
      <c r="C533" s="68" t="s">
        <v>443</v>
      </c>
      <c r="D533" s="55" t="s">
        <v>102</v>
      </c>
      <c r="E533" s="55"/>
      <c r="F533" s="799"/>
      <c r="G533" s="800"/>
      <c r="H533" s="800"/>
      <c r="I533" s="801"/>
      <c r="J533" s="55"/>
      <c r="K533" s="69">
        <f>K534</f>
        <v>8438.2000000000007</v>
      </c>
      <c r="L533" s="69">
        <f t="shared" ref="L533" si="170">L534</f>
        <v>0</v>
      </c>
      <c r="M533" s="69">
        <f>M534</f>
        <v>8438.2000000000007</v>
      </c>
    </row>
    <row r="534" spans="1:13" s="167" customFormat="1" ht="18" x14ac:dyDescent="0.35">
      <c r="A534" s="56"/>
      <c r="B534" s="658" t="s">
        <v>191</v>
      </c>
      <c r="C534" s="68" t="s">
        <v>443</v>
      </c>
      <c r="D534" s="55" t="s">
        <v>102</v>
      </c>
      <c r="E534" s="55" t="s">
        <v>50</v>
      </c>
      <c r="F534" s="799"/>
      <c r="G534" s="800"/>
      <c r="H534" s="800"/>
      <c r="I534" s="801"/>
      <c r="J534" s="55"/>
      <c r="K534" s="69">
        <f t="shared" ref="K534:M534" si="171">K535</f>
        <v>8438.2000000000007</v>
      </c>
      <c r="L534" s="69">
        <f t="shared" si="171"/>
        <v>0</v>
      </c>
      <c r="M534" s="69">
        <f t="shared" si="171"/>
        <v>8438.2000000000007</v>
      </c>
    </row>
    <row r="535" spans="1:13" s="167" customFormat="1" ht="54" customHeight="1" x14ac:dyDescent="0.35">
      <c r="A535" s="56"/>
      <c r="B535" s="610" t="s">
        <v>203</v>
      </c>
      <c r="C535" s="68" t="s">
        <v>443</v>
      </c>
      <c r="D535" s="55" t="s">
        <v>102</v>
      </c>
      <c r="E535" s="55" t="s">
        <v>50</v>
      </c>
      <c r="F535" s="799" t="s">
        <v>38</v>
      </c>
      <c r="G535" s="800" t="s">
        <v>41</v>
      </c>
      <c r="H535" s="800" t="s">
        <v>42</v>
      </c>
      <c r="I535" s="801" t="s">
        <v>43</v>
      </c>
      <c r="J535" s="55"/>
      <c r="K535" s="69">
        <f t="shared" ref="K535:M537" si="172">K536</f>
        <v>8438.2000000000007</v>
      </c>
      <c r="L535" s="69">
        <f t="shared" si="172"/>
        <v>0</v>
      </c>
      <c r="M535" s="69">
        <f t="shared" si="172"/>
        <v>8438.2000000000007</v>
      </c>
    </row>
    <row r="536" spans="1:13" s="167" customFormat="1" ht="36" customHeight="1" x14ac:dyDescent="0.35">
      <c r="A536" s="56"/>
      <c r="B536" s="610" t="s">
        <v>204</v>
      </c>
      <c r="C536" s="68" t="s">
        <v>443</v>
      </c>
      <c r="D536" s="55" t="s">
        <v>102</v>
      </c>
      <c r="E536" s="55" t="s">
        <v>50</v>
      </c>
      <c r="F536" s="799" t="s">
        <v>38</v>
      </c>
      <c r="G536" s="800" t="s">
        <v>44</v>
      </c>
      <c r="H536" s="800" t="s">
        <v>42</v>
      </c>
      <c r="I536" s="801" t="s">
        <v>43</v>
      </c>
      <c r="J536" s="55"/>
      <c r="K536" s="69">
        <f t="shared" si="172"/>
        <v>8438.2000000000007</v>
      </c>
      <c r="L536" s="69">
        <f t="shared" si="172"/>
        <v>0</v>
      </c>
      <c r="M536" s="69">
        <f t="shared" si="172"/>
        <v>8438.2000000000007</v>
      </c>
    </row>
    <row r="537" spans="1:13" s="167" customFormat="1" ht="36" customHeight="1" x14ac:dyDescent="0.35">
      <c r="A537" s="56"/>
      <c r="B537" s="610" t="s">
        <v>281</v>
      </c>
      <c r="C537" s="68" t="s">
        <v>443</v>
      </c>
      <c r="D537" s="55" t="s">
        <v>102</v>
      </c>
      <c r="E537" s="55" t="s">
        <v>50</v>
      </c>
      <c r="F537" s="799" t="s">
        <v>38</v>
      </c>
      <c r="G537" s="800" t="s">
        <v>44</v>
      </c>
      <c r="H537" s="800" t="s">
        <v>36</v>
      </c>
      <c r="I537" s="801" t="s">
        <v>43</v>
      </c>
      <c r="J537" s="55"/>
      <c r="K537" s="69">
        <f t="shared" si="172"/>
        <v>8438.2000000000007</v>
      </c>
      <c r="L537" s="69">
        <f t="shared" si="172"/>
        <v>0</v>
      </c>
      <c r="M537" s="69">
        <f t="shared" si="172"/>
        <v>8438.2000000000007</v>
      </c>
    </row>
    <row r="538" spans="1:13" s="167" customFormat="1" ht="126" customHeight="1" x14ac:dyDescent="0.35">
      <c r="A538" s="56"/>
      <c r="B538" s="610" t="s">
        <v>297</v>
      </c>
      <c r="C538" s="68" t="s">
        <v>443</v>
      </c>
      <c r="D538" s="55" t="s">
        <v>102</v>
      </c>
      <c r="E538" s="55" t="s">
        <v>50</v>
      </c>
      <c r="F538" s="799" t="s">
        <v>38</v>
      </c>
      <c r="G538" s="800" t="s">
        <v>44</v>
      </c>
      <c r="H538" s="800" t="s">
        <v>36</v>
      </c>
      <c r="I538" s="801" t="s">
        <v>298</v>
      </c>
      <c r="J538" s="55"/>
      <c r="K538" s="69">
        <f>K539+K540</f>
        <v>8438.2000000000007</v>
      </c>
      <c r="L538" s="69">
        <f t="shared" ref="L538" si="173">L539+L540</f>
        <v>0</v>
      </c>
      <c r="M538" s="69">
        <f>M539+M540</f>
        <v>8438.2000000000007</v>
      </c>
    </row>
    <row r="539" spans="1:13" s="167" customFormat="1" ht="54" customHeight="1" x14ac:dyDescent="0.35">
      <c r="A539" s="56"/>
      <c r="B539" s="610" t="s">
        <v>53</v>
      </c>
      <c r="C539" s="68" t="s">
        <v>443</v>
      </c>
      <c r="D539" s="55" t="s">
        <v>102</v>
      </c>
      <c r="E539" s="55" t="s">
        <v>50</v>
      </c>
      <c r="F539" s="799" t="s">
        <v>38</v>
      </c>
      <c r="G539" s="800" t="s">
        <v>44</v>
      </c>
      <c r="H539" s="800" t="s">
        <v>36</v>
      </c>
      <c r="I539" s="801" t="s">
        <v>298</v>
      </c>
      <c r="J539" s="55" t="s">
        <v>54</v>
      </c>
      <c r="K539" s="69">
        <v>124.7</v>
      </c>
      <c r="L539" s="69">
        <f>M539-K539</f>
        <v>0</v>
      </c>
      <c r="M539" s="69">
        <v>124.7</v>
      </c>
    </row>
    <row r="540" spans="1:13" s="167" customFormat="1" ht="36" customHeight="1" x14ac:dyDescent="0.35">
      <c r="A540" s="56"/>
      <c r="B540" s="617" t="s">
        <v>118</v>
      </c>
      <c r="C540" s="68" t="s">
        <v>443</v>
      </c>
      <c r="D540" s="55" t="s">
        <v>102</v>
      </c>
      <c r="E540" s="55" t="s">
        <v>50</v>
      </c>
      <c r="F540" s="799" t="s">
        <v>38</v>
      </c>
      <c r="G540" s="800" t="s">
        <v>44</v>
      </c>
      <c r="H540" s="800" t="s">
        <v>36</v>
      </c>
      <c r="I540" s="801" t="s">
        <v>298</v>
      </c>
      <c r="J540" s="55" t="s">
        <v>119</v>
      </c>
      <c r="K540" s="69">
        <v>8313.5</v>
      </c>
      <c r="L540" s="69">
        <f>M540-K540</f>
        <v>0</v>
      </c>
      <c r="M540" s="69">
        <v>8313.5</v>
      </c>
    </row>
    <row r="541" spans="1:13" s="167" customFormat="1" ht="18" x14ac:dyDescent="0.35">
      <c r="A541" s="56"/>
      <c r="B541" s="614" t="s">
        <v>342</v>
      </c>
      <c r="C541" s="68" t="s">
        <v>443</v>
      </c>
      <c r="D541" s="55" t="s">
        <v>65</v>
      </c>
      <c r="E541" s="55"/>
      <c r="F541" s="799"/>
      <c r="G541" s="800"/>
      <c r="H541" s="800"/>
      <c r="I541" s="801"/>
      <c r="J541" s="55"/>
      <c r="K541" s="69">
        <f t="shared" ref="K541:M544" si="174">K542</f>
        <v>22455.31</v>
      </c>
      <c r="L541" s="69">
        <f t="shared" si="174"/>
        <v>1390.9999999999991</v>
      </c>
      <c r="M541" s="69">
        <f t="shared" si="174"/>
        <v>23846.31</v>
      </c>
    </row>
    <row r="542" spans="1:13" s="167" customFormat="1" ht="18" x14ac:dyDescent="0.35">
      <c r="A542" s="56"/>
      <c r="B542" s="686" t="s">
        <v>611</v>
      </c>
      <c r="C542" s="68" t="s">
        <v>443</v>
      </c>
      <c r="D542" s="55" t="s">
        <v>65</v>
      </c>
      <c r="E542" s="55" t="s">
        <v>61</v>
      </c>
      <c r="F542" s="799"/>
      <c r="G542" s="800"/>
      <c r="H542" s="800"/>
      <c r="I542" s="801"/>
      <c r="J542" s="55"/>
      <c r="K542" s="69">
        <f t="shared" si="174"/>
        <v>22455.31</v>
      </c>
      <c r="L542" s="69">
        <f t="shared" si="174"/>
        <v>1390.9999999999991</v>
      </c>
      <c r="M542" s="69">
        <f t="shared" si="174"/>
        <v>23846.31</v>
      </c>
    </row>
    <row r="543" spans="1:13" s="167" customFormat="1" ht="36" customHeight="1" x14ac:dyDescent="0.35">
      <c r="A543" s="56"/>
      <c r="B543" s="686" t="s">
        <v>203</v>
      </c>
      <c r="C543" s="68" t="s">
        <v>443</v>
      </c>
      <c r="D543" s="55" t="s">
        <v>65</v>
      </c>
      <c r="E543" s="55" t="s">
        <v>61</v>
      </c>
      <c r="F543" s="799" t="s">
        <v>38</v>
      </c>
      <c r="G543" s="800" t="s">
        <v>41</v>
      </c>
      <c r="H543" s="800" t="s">
        <v>42</v>
      </c>
      <c r="I543" s="801" t="s">
        <v>43</v>
      </c>
      <c r="J543" s="55"/>
      <c r="K543" s="69">
        <f t="shared" si="174"/>
        <v>22455.31</v>
      </c>
      <c r="L543" s="69">
        <f>L544</f>
        <v>1390.9999999999991</v>
      </c>
      <c r="M543" s="69">
        <f t="shared" si="174"/>
        <v>23846.31</v>
      </c>
    </row>
    <row r="544" spans="1:13" s="167" customFormat="1" ht="18" x14ac:dyDescent="0.35">
      <c r="A544" s="56"/>
      <c r="B544" s="686" t="s">
        <v>208</v>
      </c>
      <c r="C544" s="68" t="s">
        <v>443</v>
      </c>
      <c r="D544" s="55" t="s">
        <v>65</v>
      </c>
      <c r="E544" s="55" t="s">
        <v>61</v>
      </c>
      <c r="F544" s="799" t="s">
        <v>38</v>
      </c>
      <c r="G544" s="800" t="s">
        <v>87</v>
      </c>
      <c r="H544" s="800" t="s">
        <v>42</v>
      </c>
      <c r="I544" s="801" t="s">
        <v>43</v>
      </c>
      <c r="J544" s="55"/>
      <c r="K544" s="69">
        <f t="shared" si="174"/>
        <v>22455.31</v>
      </c>
      <c r="L544" s="69">
        <f>L545</f>
        <v>1390.9999999999991</v>
      </c>
      <c r="M544" s="69">
        <f t="shared" si="174"/>
        <v>23846.31</v>
      </c>
    </row>
    <row r="545" spans="1:13" s="167" customFormat="1" ht="36" customHeight="1" x14ac:dyDescent="0.35">
      <c r="A545" s="56"/>
      <c r="B545" s="686" t="s">
        <v>290</v>
      </c>
      <c r="C545" s="68" t="s">
        <v>443</v>
      </c>
      <c r="D545" s="55" t="s">
        <v>65</v>
      </c>
      <c r="E545" s="55" t="s">
        <v>61</v>
      </c>
      <c r="F545" s="799" t="s">
        <v>38</v>
      </c>
      <c r="G545" s="800" t="s">
        <v>87</v>
      </c>
      <c r="H545" s="800" t="s">
        <v>36</v>
      </c>
      <c r="I545" s="801" t="s">
        <v>43</v>
      </c>
      <c r="J545" s="55"/>
      <c r="K545" s="69">
        <f>K546+K550</f>
        <v>22455.31</v>
      </c>
      <c r="L545" s="69">
        <f>L546+L550</f>
        <v>1390.9999999999991</v>
      </c>
      <c r="M545" s="69">
        <f>M546+M550</f>
        <v>23846.31</v>
      </c>
    </row>
    <row r="546" spans="1:13" s="167" customFormat="1" ht="36" customHeight="1" x14ac:dyDescent="0.35">
      <c r="A546" s="56"/>
      <c r="B546" s="746" t="s">
        <v>484</v>
      </c>
      <c r="C546" s="68" t="s">
        <v>443</v>
      </c>
      <c r="D546" s="55" t="s">
        <v>65</v>
      </c>
      <c r="E546" s="55" t="s">
        <v>61</v>
      </c>
      <c r="F546" s="799" t="s">
        <v>38</v>
      </c>
      <c r="G546" s="800" t="s">
        <v>87</v>
      </c>
      <c r="H546" s="800" t="s">
        <v>36</v>
      </c>
      <c r="I546" s="801" t="s">
        <v>89</v>
      </c>
      <c r="J546" s="55"/>
      <c r="K546" s="69">
        <f>K547+K548+K549</f>
        <v>21295.81</v>
      </c>
      <c r="L546" s="69">
        <f>SUM(L547:L549)</f>
        <v>1390.9999999999991</v>
      </c>
      <c r="M546" s="69">
        <f>M547+M548+M549</f>
        <v>22686.81</v>
      </c>
    </row>
    <row r="547" spans="1:13" s="167" customFormat="1" ht="108" x14ac:dyDescent="0.35">
      <c r="A547" s="56"/>
      <c r="B547" s="610" t="s">
        <v>48</v>
      </c>
      <c r="C547" s="68" t="s">
        <v>443</v>
      </c>
      <c r="D547" s="55" t="s">
        <v>65</v>
      </c>
      <c r="E547" s="55" t="s">
        <v>61</v>
      </c>
      <c r="F547" s="799" t="s">
        <v>38</v>
      </c>
      <c r="G547" s="800" t="s">
        <v>87</v>
      </c>
      <c r="H547" s="800" t="s">
        <v>36</v>
      </c>
      <c r="I547" s="801" t="s">
        <v>89</v>
      </c>
      <c r="J547" s="55" t="s">
        <v>49</v>
      </c>
      <c r="K547" s="69">
        <f>17038.2+396.2</f>
        <v>17434.400000000001</v>
      </c>
      <c r="L547" s="69">
        <f>M547-K547</f>
        <v>1298.7999999999993</v>
      </c>
      <c r="M547" s="69">
        <f>17038.2+396.2+1298.8</f>
        <v>18733.2</v>
      </c>
    </row>
    <row r="548" spans="1:13" s="167" customFormat="1" ht="36" customHeight="1" x14ac:dyDescent="0.35">
      <c r="A548" s="56"/>
      <c r="B548" s="686" t="s">
        <v>53</v>
      </c>
      <c r="C548" s="68" t="s">
        <v>443</v>
      </c>
      <c r="D548" s="55" t="s">
        <v>65</v>
      </c>
      <c r="E548" s="55" t="s">
        <v>61</v>
      </c>
      <c r="F548" s="799" t="s">
        <v>38</v>
      </c>
      <c r="G548" s="800" t="s">
        <v>87</v>
      </c>
      <c r="H548" s="800" t="s">
        <v>36</v>
      </c>
      <c r="I548" s="801" t="s">
        <v>89</v>
      </c>
      <c r="J548" s="55" t="s">
        <v>54</v>
      </c>
      <c r="K548" s="69">
        <f>1296.2+2261.9+0.11-0.1</f>
        <v>3558.1100000000006</v>
      </c>
      <c r="L548" s="69">
        <f>M548-K548</f>
        <v>92.199999999999818</v>
      </c>
      <c r="M548" s="69">
        <f>1296.2+2261.9+0.11-0.1+92.2</f>
        <v>3650.3100000000004</v>
      </c>
    </row>
    <row r="549" spans="1:13" s="167" customFormat="1" ht="18" x14ac:dyDescent="0.35">
      <c r="A549" s="56"/>
      <c r="B549" s="610" t="s">
        <v>55</v>
      </c>
      <c r="C549" s="68" t="s">
        <v>443</v>
      </c>
      <c r="D549" s="55" t="s">
        <v>65</v>
      </c>
      <c r="E549" s="55" t="s">
        <v>61</v>
      </c>
      <c r="F549" s="799" t="s">
        <v>38</v>
      </c>
      <c r="G549" s="800" t="s">
        <v>87</v>
      </c>
      <c r="H549" s="800" t="s">
        <v>36</v>
      </c>
      <c r="I549" s="801" t="s">
        <v>89</v>
      </c>
      <c r="J549" s="55" t="s">
        <v>56</v>
      </c>
      <c r="K549" s="69">
        <f>303.2+0.1</f>
        <v>303.3</v>
      </c>
      <c r="L549" s="69">
        <f>M549-K549</f>
        <v>0</v>
      </c>
      <c r="M549" s="69">
        <f>303.2+0.1</f>
        <v>303.3</v>
      </c>
    </row>
    <row r="550" spans="1:13" s="167" customFormat="1" ht="54" x14ac:dyDescent="0.35">
      <c r="A550" s="56"/>
      <c r="B550" s="610" t="s">
        <v>205</v>
      </c>
      <c r="C550" s="68" t="s">
        <v>443</v>
      </c>
      <c r="D550" s="55" t="s">
        <v>65</v>
      </c>
      <c r="E550" s="55" t="s">
        <v>61</v>
      </c>
      <c r="F550" s="799" t="s">
        <v>38</v>
      </c>
      <c r="G550" s="800" t="s">
        <v>87</v>
      </c>
      <c r="H550" s="800" t="s">
        <v>36</v>
      </c>
      <c r="I550" s="801" t="s">
        <v>287</v>
      </c>
      <c r="J550" s="55"/>
      <c r="K550" s="69">
        <f>K551</f>
        <v>1159.5</v>
      </c>
      <c r="L550" s="69">
        <f>L551</f>
        <v>0</v>
      </c>
      <c r="M550" s="69">
        <f>M551</f>
        <v>1159.5</v>
      </c>
    </row>
    <row r="551" spans="1:13" s="167" customFormat="1" ht="54" x14ac:dyDescent="0.35">
      <c r="A551" s="56"/>
      <c r="B551" s="610" t="s">
        <v>53</v>
      </c>
      <c r="C551" s="68" t="s">
        <v>443</v>
      </c>
      <c r="D551" s="55" t="s">
        <v>65</v>
      </c>
      <c r="E551" s="55" t="s">
        <v>61</v>
      </c>
      <c r="F551" s="799" t="s">
        <v>38</v>
      </c>
      <c r="G551" s="800" t="s">
        <v>87</v>
      </c>
      <c r="H551" s="800" t="s">
        <v>36</v>
      </c>
      <c r="I551" s="801" t="s">
        <v>287</v>
      </c>
      <c r="J551" s="55" t="s">
        <v>54</v>
      </c>
      <c r="K551" s="69">
        <v>1159.5</v>
      </c>
      <c r="L551" s="69">
        <f>M551-K551</f>
        <v>0</v>
      </c>
      <c r="M551" s="69">
        <v>1159.5</v>
      </c>
    </row>
    <row r="552" spans="1:13" s="183" customFormat="1" ht="18" customHeight="1" x14ac:dyDescent="0.35">
      <c r="A552" s="718"/>
      <c r="B552" s="737"/>
      <c r="C552" s="754"/>
      <c r="D552" s="755"/>
      <c r="E552" s="755"/>
      <c r="F552" s="208"/>
      <c r="G552" s="209"/>
      <c r="H552" s="209"/>
      <c r="I552" s="210"/>
      <c r="J552" s="755"/>
      <c r="K552" s="321"/>
      <c r="L552" s="321"/>
      <c r="M552" s="321"/>
    </row>
    <row r="553" spans="1:13" s="163" customFormat="1" ht="52.2" customHeight="1" x14ac:dyDescent="0.3">
      <c r="A553" s="162">
        <v>6</v>
      </c>
      <c r="B553" s="678" t="s">
        <v>9</v>
      </c>
      <c r="C553" s="63" t="s">
        <v>334</v>
      </c>
      <c r="D553" s="64"/>
      <c r="E553" s="64"/>
      <c r="F553" s="65"/>
      <c r="G553" s="66"/>
      <c r="H553" s="66"/>
      <c r="I553" s="67"/>
      <c r="J553" s="64"/>
      <c r="K553" s="77">
        <f>K564+K588+K554</f>
        <v>138785.79999999999</v>
      </c>
      <c r="L553" s="77">
        <f t="shared" ref="L553" si="175">L564+L588+L554</f>
        <v>4095.7</v>
      </c>
      <c r="M553" s="77">
        <f>M564+M588+M554</f>
        <v>142881.49999999997</v>
      </c>
    </row>
    <row r="554" spans="1:13" s="163" customFormat="1" ht="18" customHeight="1" x14ac:dyDescent="0.35">
      <c r="A554" s="162"/>
      <c r="B554" s="610" t="s">
        <v>35</v>
      </c>
      <c r="C554" s="68" t="s">
        <v>334</v>
      </c>
      <c r="D554" s="73" t="s">
        <v>36</v>
      </c>
      <c r="E554" s="64"/>
      <c r="F554" s="65"/>
      <c r="G554" s="66"/>
      <c r="H554" s="66"/>
      <c r="I554" s="67"/>
      <c r="J554" s="64"/>
      <c r="K554" s="261">
        <f>K555</f>
        <v>76</v>
      </c>
      <c r="L554" s="261">
        <f t="shared" ref="L554:L556" si="176">L555</f>
        <v>0</v>
      </c>
      <c r="M554" s="261">
        <f>M555</f>
        <v>76</v>
      </c>
    </row>
    <row r="555" spans="1:13" s="163" customFormat="1" ht="18" customHeight="1" x14ac:dyDescent="0.35">
      <c r="A555" s="162"/>
      <c r="B555" s="610" t="s">
        <v>68</v>
      </c>
      <c r="C555" s="68" t="s">
        <v>334</v>
      </c>
      <c r="D555" s="73" t="s">
        <v>36</v>
      </c>
      <c r="E555" s="73" t="s">
        <v>69</v>
      </c>
      <c r="F555" s="65"/>
      <c r="G555" s="66"/>
      <c r="H555" s="66"/>
      <c r="I555" s="67"/>
      <c r="J555" s="64"/>
      <c r="K555" s="261">
        <f>K556</f>
        <v>76</v>
      </c>
      <c r="L555" s="261">
        <f t="shared" si="176"/>
        <v>0</v>
      </c>
      <c r="M555" s="261">
        <f>M556</f>
        <v>76</v>
      </c>
    </row>
    <row r="556" spans="1:13" s="163" customFormat="1" ht="54" customHeight="1" x14ac:dyDescent="0.35">
      <c r="A556" s="162"/>
      <c r="B556" s="659" t="s">
        <v>211</v>
      </c>
      <c r="C556" s="68" t="s">
        <v>334</v>
      </c>
      <c r="D556" s="55" t="s">
        <v>36</v>
      </c>
      <c r="E556" s="55" t="s">
        <v>69</v>
      </c>
      <c r="F556" s="799" t="s">
        <v>61</v>
      </c>
      <c r="G556" s="800" t="s">
        <v>41</v>
      </c>
      <c r="H556" s="800" t="s">
        <v>42</v>
      </c>
      <c r="I556" s="801" t="s">
        <v>43</v>
      </c>
      <c r="J556" s="64"/>
      <c r="K556" s="261">
        <f>K557</f>
        <v>76</v>
      </c>
      <c r="L556" s="261">
        <f t="shared" si="176"/>
        <v>0</v>
      </c>
      <c r="M556" s="261">
        <f>M557</f>
        <v>76</v>
      </c>
    </row>
    <row r="557" spans="1:13" s="163" customFormat="1" ht="54" customHeight="1" x14ac:dyDescent="0.35">
      <c r="A557" s="162"/>
      <c r="B557" s="659" t="s">
        <v>213</v>
      </c>
      <c r="C557" s="68" t="s">
        <v>334</v>
      </c>
      <c r="D557" s="55" t="s">
        <v>36</v>
      </c>
      <c r="E557" s="55" t="s">
        <v>69</v>
      </c>
      <c r="F557" s="258" t="s">
        <v>61</v>
      </c>
      <c r="G557" s="259" t="s">
        <v>29</v>
      </c>
      <c r="H557" s="800" t="s">
        <v>42</v>
      </c>
      <c r="I557" s="801" t="s">
        <v>43</v>
      </c>
      <c r="J557" s="64"/>
      <c r="K557" s="261">
        <f>K558+K561</f>
        <v>76</v>
      </c>
      <c r="L557" s="261">
        <f t="shared" ref="L557" si="177">L558+L561</f>
        <v>0</v>
      </c>
      <c r="M557" s="261">
        <f>M558+M561</f>
        <v>76</v>
      </c>
    </row>
    <row r="558" spans="1:13" s="163" customFormat="1" ht="54" customHeight="1" x14ac:dyDescent="0.35">
      <c r="A558" s="162"/>
      <c r="B558" s="659" t="s">
        <v>296</v>
      </c>
      <c r="C558" s="68" t="s">
        <v>334</v>
      </c>
      <c r="D558" s="55" t="s">
        <v>36</v>
      </c>
      <c r="E558" s="55" t="s">
        <v>69</v>
      </c>
      <c r="F558" s="258" t="s">
        <v>61</v>
      </c>
      <c r="G558" s="259" t="s">
        <v>29</v>
      </c>
      <c r="H558" s="259" t="s">
        <v>36</v>
      </c>
      <c r="I558" s="801" t="s">
        <v>43</v>
      </c>
      <c r="J558" s="64"/>
      <c r="K558" s="261">
        <f>K559</f>
        <v>19.7</v>
      </c>
      <c r="L558" s="261">
        <f t="shared" ref="L558:L559" si="178">L559</f>
        <v>0</v>
      </c>
      <c r="M558" s="261">
        <f>M559</f>
        <v>19.7</v>
      </c>
    </row>
    <row r="559" spans="1:13" s="163" customFormat="1" ht="54" customHeight="1" x14ac:dyDescent="0.35">
      <c r="A559" s="162"/>
      <c r="B559" s="610" t="s">
        <v>401</v>
      </c>
      <c r="C559" s="68" t="s">
        <v>334</v>
      </c>
      <c r="D559" s="55" t="s">
        <v>36</v>
      </c>
      <c r="E559" s="55" t="s">
        <v>69</v>
      </c>
      <c r="F559" s="258" t="s">
        <v>61</v>
      </c>
      <c r="G559" s="259" t="s">
        <v>29</v>
      </c>
      <c r="H559" s="259" t="s">
        <v>36</v>
      </c>
      <c r="I559" s="260" t="s">
        <v>400</v>
      </c>
      <c r="J559" s="73"/>
      <c r="K559" s="261">
        <f>K560</f>
        <v>19.7</v>
      </c>
      <c r="L559" s="261">
        <f t="shared" si="178"/>
        <v>0</v>
      </c>
      <c r="M559" s="261">
        <f>M560</f>
        <v>19.7</v>
      </c>
    </row>
    <row r="560" spans="1:13" s="163" customFormat="1" ht="54" customHeight="1" x14ac:dyDescent="0.35">
      <c r="A560" s="162"/>
      <c r="B560" s="610" t="s">
        <v>53</v>
      </c>
      <c r="C560" s="68" t="s">
        <v>334</v>
      </c>
      <c r="D560" s="73" t="s">
        <v>36</v>
      </c>
      <c r="E560" s="73" t="s">
        <v>69</v>
      </c>
      <c r="F560" s="258" t="s">
        <v>61</v>
      </c>
      <c r="G560" s="259" t="s">
        <v>29</v>
      </c>
      <c r="H560" s="259" t="s">
        <v>36</v>
      </c>
      <c r="I560" s="260" t="s">
        <v>400</v>
      </c>
      <c r="J560" s="73" t="s">
        <v>54</v>
      </c>
      <c r="K560" s="261">
        <v>19.7</v>
      </c>
      <c r="L560" s="69">
        <f>M560-K560</f>
        <v>0</v>
      </c>
      <c r="M560" s="261">
        <v>19.7</v>
      </c>
    </row>
    <row r="561" spans="1:13" s="163" customFormat="1" ht="36" customHeight="1" x14ac:dyDescent="0.35">
      <c r="A561" s="162"/>
      <c r="B561" s="610" t="s">
        <v>371</v>
      </c>
      <c r="C561" s="68" t="s">
        <v>334</v>
      </c>
      <c r="D561" s="73" t="s">
        <v>36</v>
      </c>
      <c r="E561" s="73" t="s">
        <v>69</v>
      </c>
      <c r="F561" s="258" t="s">
        <v>61</v>
      </c>
      <c r="G561" s="259" t="s">
        <v>29</v>
      </c>
      <c r="H561" s="259" t="s">
        <v>38</v>
      </c>
      <c r="I561" s="260" t="s">
        <v>43</v>
      </c>
      <c r="J561" s="64"/>
      <c r="K561" s="261">
        <f t="shared" ref="K561:M562" si="179">K562</f>
        <v>56.3</v>
      </c>
      <c r="L561" s="261">
        <f t="shared" si="179"/>
        <v>0</v>
      </c>
      <c r="M561" s="261">
        <f t="shared" si="179"/>
        <v>56.3</v>
      </c>
    </row>
    <row r="562" spans="1:13" s="163" customFormat="1" ht="54" customHeight="1" x14ac:dyDescent="0.35">
      <c r="A562" s="162"/>
      <c r="B562" s="610" t="s">
        <v>372</v>
      </c>
      <c r="C562" s="68" t="s">
        <v>334</v>
      </c>
      <c r="D562" s="73" t="s">
        <v>36</v>
      </c>
      <c r="E562" s="73" t="s">
        <v>69</v>
      </c>
      <c r="F562" s="258" t="s">
        <v>61</v>
      </c>
      <c r="G562" s="259" t="s">
        <v>29</v>
      </c>
      <c r="H562" s="259" t="s">
        <v>38</v>
      </c>
      <c r="I562" s="260" t="s">
        <v>103</v>
      </c>
      <c r="J562" s="64"/>
      <c r="K562" s="261">
        <f t="shared" si="179"/>
        <v>56.3</v>
      </c>
      <c r="L562" s="261">
        <f t="shared" si="179"/>
        <v>0</v>
      </c>
      <c r="M562" s="261">
        <f t="shared" si="179"/>
        <v>56.3</v>
      </c>
    </row>
    <row r="563" spans="1:13" s="163" customFormat="1" ht="54" customHeight="1" x14ac:dyDescent="0.35">
      <c r="A563" s="162"/>
      <c r="B563" s="610" t="s">
        <v>53</v>
      </c>
      <c r="C563" s="68" t="s">
        <v>334</v>
      </c>
      <c r="D563" s="73" t="s">
        <v>36</v>
      </c>
      <c r="E563" s="73" t="s">
        <v>69</v>
      </c>
      <c r="F563" s="258" t="s">
        <v>61</v>
      </c>
      <c r="G563" s="259" t="s">
        <v>29</v>
      </c>
      <c r="H563" s="259" t="s">
        <v>38</v>
      </c>
      <c r="I563" s="260" t="s">
        <v>103</v>
      </c>
      <c r="J563" s="73" t="s">
        <v>54</v>
      </c>
      <c r="K563" s="261">
        <v>56.3</v>
      </c>
      <c r="L563" s="69">
        <f>M563-K563</f>
        <v>0</v>
      </c>
      <c r="M563" s="261">
        <v>56.3</v>
      </c>
    </row>
    <row r="564" spans="1:13" s="52" customFormat="1" ht="18" customHeight="1" x14ac:dyDescent="0.35">
      <c r="A564" s="56"/>
      <c r="B564" s="659" t="s">
        <v>177</v>
      </c>
      <c r="C564" s="68" t="s">
        <v>334</v>
      </c>
      <c r="D564" s="55" t="s">
        <v>221</v>
      </c>
      <c r="E564" s="55"/>
      <c r="F564" s="799"/>
      <c r="G564" s="800"/>
      <c r="H564" s="800"/>
      <c r="I564" s="801"/>
      <c r="J564" s="55"/>
      <c r="K564" s="69">
        <f>K565+K579</f>
        <v>85858.199999999968</v>
      </c>
      <c r="L564" s="69">
        <f t="shared" ref="L564" si="180">L565+L579</f>
        <v>3397</v>
      </c>
      <c r="M564" s="69">
        <f>M565+M579</f>
        <v>89255.199999999968</v>
      </c>
    </row>
    <row r="565" spans="1:13" s="163" customFormat="1" ht="18" customHeight="1" x14ac:dyDescent="0.35">
      <c r="A565" s="56"/>
      <c r="B565" s="659" t="s">
        <v>369</v>
      </c>
      <c r="C565" s="68" t="s">
        <v>334</v>
      </c>
      <c r="D565" s="55" t="s">
        <v>221</v>
      </c>
      <c r="E565" s="55" t="s">
        <v>61</v>
      </c>
      <c r="F565" s="799"/>
      <c r="G565" s="800"/>
      <c r="H565" s="800"/>
      <c r="I565" s="801"/>
      <c r="J565" s="55"/>
      <c r="K565" s="69">
        <f t="shared" ref="K565:M567" si="181">K566</f>
        <v>85095.599999999962</v>
      </c>
      <c r="L565" s="69">
        <f t="shared" si="181"/>
        <v>3397</v>
      </c>
      <c r="M565" s="69">
        <f t="shared" si="181"/>
        <v>88492.599999999962</v>
      </c>
    </row>
    <row r="566" spans="1:13" s="163" customFormat="1" ht="54" customHeight="1" x14ac:dyDescent="0.35">
      <c r="A566" s="56"/>
      <c r="B566" s="659" t="s">
        <v>211</v>
      </c>
      <c r="C566" s="68" t="s">
        <v>334</v>
      </c>
      <c r="D566" s="55" t="s">
        <v>221</v>
      </c>
      <c r="E566" s="55" t="s">
        <v>61</v>
      </c>
      <c r="F566" s="799" t="s">
        <v>61</v>
      </c>
      <c r="G566" s="800" t="s">
        <v>41</v>
      </c>
      <c r="H566" s="800" t="s">
        <v>42</v>
      </c>
      <c r="I566" s="801" t="s">
        <v>43</v>
      </c>
      <c r="J566" s="55"/>
      <c r="K566" s="69">
        <f t="shared" si="181"/>
        <v>85095.599999999962</v>
      </c>
      <c r="L566" s="69">
        <f t="shared" si="181"/>
        <v>3397</v>
      </c>
      <c r="M566" s="69">
        <f t="shared" si="181"/>
        <v>88492.599999999962</v>
      </c>
    </row>
    <row r="567" spans="1:13" s="163" customFormat="1" ht="72" customHeight="1" x14ac:dyDescent="0.35">
      <c r="A567" s="56"/>
      <c r="B567" s="659" t="s">
        <v>212</v>
      </c>
      <c r="C567" s="68" t="s">
        <v>334</v>
      </c>
      <c r="D567" s="55" t="s">
        <v>221</v>
      </c>
      <c r="E567" s="55" t="s">
        <v>61</v>
      </c>
      <c r="F567" s="799" t="s">
        <v>61</v>
      </c>
      <c r="G567" s="800" t="s">
        <v>44</v>
      </c>
      <c r="H567" s="800" t="s">
        <v>42</v>
      </c>
      <c r="I567" s="801" t="s">
        <v>43</v>
      </c>
      <c r="J567" s="55"/>
      <c r="K567" s="69">
        <f>K568</f>
        <v>85095.599999999962</v>
      </c>
      <c r="L567" s="69">
        <f t="shared" si="181"/>
        <v>3397</v>
      </c>
      <c r="M567" s="69">
        <f>M568</f>
        <v>88492.599999999962</v>
      </c>
    </row>
    <row r="568" spans="1:13" s="163" customFormat="1" ht="36" customHeight="1" x14ac:dyDescent="0.35">
      <c r="A568" s="56"/>
      <c r="B568" s="659" t="s">
        <v>290</v>
      </c>
      <c r="C568" s="68" t="s">
        <v>334</v>
      </c>
      <c r="D568" s="55" t="s">
        <v>221</v>
      </c>
      <c r="E568" s="55" t="s">
        <v>61</v>
      </c>
      <c r="F568" s="799" t="s">
        <v>61</v>
      </c>
      <c r="G568" s="800" t="s">
        <v>44</v>
      </c>
      <c r="H568" s="800" t="s">
        <v>36</v>
      </c>
      <c r="I568" s="801" t="s">
        <v>43</v>
      </c>
      <c r="J568" s="55"/>
      <c r="K568" s="69">
        <f t="shared" ref="K568" si="182">K569+K573+K571+K577</f>
        <v>85095.599999999962</v>
      </c>
      <c r="L568" s="69">
        <f>L569+L573+L571+L577+L575</f>
        <v>3397</v>
      </c>
      <c r="M568" s="69">
        <f>M569+M573+M571+M577+M575</f>
        <v>88492.599999999962</v>
      </c>
    </row>
    <row r="569" spans="1:13" s="163" customFormat="1" ht="36" customHeight="1" x14ac:dyDescent="0.35">
      <c r="A569" s="56"/>
      <c r="B569" s="642" t="s">
        <v>484</v>
      </c>
      <c r="C569" s="68" t="s">
        <v>334</v>
      </c>
      <c r="D569" s="55" t="s">
        <v>221</v>
      </c>
      <c r="E569" s="55" t="s">
        <v>61</v>
      </c>
      <c r="F569" s="799" t="s">
        <v>61</v>
      </c>
      <c r="G569" s="800" t="s">
        <v>44</v>
      </c>
      <c r="H569" s="800" t="s">
        <v>36</v>
      </c>
      <c r="I569" s="801" t="s">
        <v>89</v>
      </c>
      <c r="J569" s="55"/>
      <c r="K569" s="69">
        <f>K570</f>
        <v>67498.39999999998</v>
      </c>
      <c r="L569" s="69">
        <f t="shared" ref="L569" si="183">L570</f>
        <v>2897</v>
      </c>
      <c r="M569" s="69">
        <f>M570</f>
        <v>70395.39999999998</v>
      </c>
    </row>
    <row r="570" spans="1:13" s="52" customFormat="1" ht="54" customHeight="1" x14ac:dyDescent="0.35">
      <c r="A570" s="56"/>
      <c r="B570" s="617" t="s">
        <v>74</v>
      </c>
      <c r="C570" s="68" t="s">
        <v>334</v>
      </c>
      <c r="D570" s="55" t="s">
        <v>221</v>
      </c>
      <c r="E570" s="55" t="s">
        <v>61</v>
      </c>
      <c r="F570" s="799" t="s">
        <v>61</v>
      </c>
      <c r="G570" s="800" t="s">
        <v>44</v>
      </c>
      <c r="H570" s="800" t="s">
        <v>36</v>
      </c>
      <c r="I570" s="801" t="s">
        <v>89</v>
      </c>
      <c r="J570" s="55" t="s">
        <v>75</v>
      </c>
      <c r="K570" s="69">
        <f>65654.9+1241.7+418.5+147.4+35.9</f>
        <v>67498.39999999998</v>
      </c>
      <c r="L570" s="69">
        <f>M570-K570</f>
        <v>2897</v>
      </c>
      <c r="M570" s="69">
        <f>65654.9+1241.7+418.5+147.4+35.9+2897</f>
        <v>70395.39999999998</v>
      </c>
    </row>
    <row r="571" spans="1:13" s="52" customFormat="1" ht="18" customHeight="1" x14ac:dyDescent="0.35">
      <c r="A571" s="56"/>
      <c r="B571" s="617" t="s">
        <v>485</v>
      </c>
      <c r="C571" s="68" t="s">
        <v>334</v>
      </c>
      <c r="D571" s="55" t="s">
        <v>221</v>
      </c>
      <c r="E571" s="55" t="s">
        <v>61</v>
      </c>
      <c r="F571" s="799" t="s">
        <v>61</v>
      </c>
      <c r="G571" s="800" t="s">
        <v>44</v>
      </c>
      <c r="H571" s="800" t="s">
        <v>36</v>
      </c>
      <c r="I571" s="801" t="s">
        <v>402</v>
      </c>
      <c r="J571" s="55"/>
      <c r="K571" s="69">
        <f>K572</f>
        <v>1291.9000000000001</v>
      </c>
      <c r="L571" s="69">
        <f t="shared" ref="L571" si="184">L572</f>
        <v>0</v>
      </c>
      <c r="M571" s="69">
        <f>M572</f>
        <v>1291.9000000000001</v>
      </c>
    </row>
    <row r="572" spans="1:13" s="52" customFormat="1" ht="54" customHeight="1" x14ac:dyDescent="0.35">
      <c r="A572" s="56"/>
      <c r="B572" s="617" t="s">
        <v>74</v>
      </c>
      <c r="C572" s="68" t="s">
        <v>334</v>
      </c>
      <c r="D572" s="55" t="s">
        <v>221</v>
      </c>
      <c r="E572" s="55" t="s">
        <v>61</v>
      </c>
      <c r="F572" s="799" t="s">
        <v>61</v>
      </c>
      <c r="G572" s="800" t="s">
        <v>44</v>
      </c>
      <c r="H572" s="800" t="s">
        <v>36</v>
      </c>
      <c r="I572" s="801" t="s">
        <v>402</v>
      </c>
      <c r="J572" s="55" t="s">
        <v>75</v>
      </c>
      <c r="K572" s="69">
        <f>704.2+47.3+540.4</f>
        <v>1291.9000000000001</v>
      </c>
      <c r="L572" s="69">
        <f>M572-K572</f>
        <v>0</v>
      </c>
      <c r="M572" s="69">
        <f>704.2+47.3+540.4</f>
        <v>1291.9000000000001</v>
      </c>
    </row>
    <row r="573" spans="1:13" s="52" customFormat="1" ht="36" customHeight="1" x14ac:dyDescent="0.35">
      <c r="A573" s="56"/>
      <c r="B573" s="617" t="s">
        <v>335</v>
      </c>
      <c r="C573" s="68" t="s">
        <v>334</v>
      </c>
      <c r="D573" s="55" t="s">
        <v>221</v>
      </c>
      <c r="E573" s="55" t="s">
        <v>61</v>
      </c>
      <c r="F573" s="799" t="s">
        <v>61</v>
      </c>
      <c r="G573" s="800" t="s">
        <v>44</v>
      </c>
      <c r="H573" s="800" t="s">
        <v>36</v>
      </c>
      <c r="I573" s="801" t="s">
        <v>336</v>
      </c>
      <c r="J573" s="55"/>
      <c r="K573" s="69">
        <f>K574</f>
        <v>10223.4</v>
      </c>
      <c r="L573" s="69">
        <f t="shared" ref="L573" si="185">L574</f>
        <v>0</v>
      </c>
      <c r="M573" s="69">
        <f>M574</f>
        <v>10223.4</v>
      </c>
    </row>
    <row r="574" spans="1:13" s="52" customFormat="1" ht="54" customHeight="1" x14ac:dyDescent="0.35">
      <c r="A574" s="56"/>
      <c r="B574" s="617" t="s">
        <v>74</v>
      </c>
      <c r="C574" s="68" t="s">
        <v>334</v>
      </c>
      <c r="D574" s="55" t="s">
        <v>221</v>
      </c>
      <c r="E574" s="55" t="s">
        <v>61</v>
      </c>
      <c r="F574" s="799" t="s">
        <v>61</v>
      </c>
      <c r="G574" s="800" t="s">
        <v>44</v>
      </c>
      <c r="H574" s="800" t="s">
        <v>36</v>
      </c>
      <c r="I574" s="801" t="s">
        <v>336</v>
      </c>
      <c r="J574" s="55" t="s">
        <v>75</v>
      </c>
      <c r="K574" s="69">
        <f>8462.5+553.4+55+52.5+1100</f>
        <v>10223.4</v>
      </c>
      <c r="L574" s="69">
        <f>M574-K574</f>
        <v>0</v>
      </c>
      <c r="M574" s="69">
        <f>8462.5+553.4+55+52.5+1100</f>
        <v>10223.4</v>
      </c>
    </row>
    <row r="575" spans="1:13" s="52" customFormat="1" ht="54" customHeight="1" x14ac:dyDescent="0.35">
      <c r="A575" s="56"/>
      <c r="B575" s="617" t="s">
        <v>738</v>
      </c>
      <c r="C575" s="68" t="s">
        <v>334</v>
      </c>
      <c r="D575" s="55" t="s">
        <v>221</v>
      </c>
      <c r="E575" s="55" t="s">
        <v>61</v>
      </c>
      <c r="F575" s="799" t="s">
        <v>61</v>
      </c>
      <c r="G575" s="800" t="s">
        <v>44</v>
      </c>
      <c r="H575" s="800" t="s">
        <v>36</v>
      </c>
      <c r="I575" s="801" t="s">
        <v>737</v>
      </c>
      <c r="J575" s="55"/>
      <c r="K575" s="69"/>
      <c r="L575" s="69">
        <f>L576</f>
        <v>500</v>
      </c>
      <c r="M575" s="69">
        <f>M576</f>
        <v>500</v>
      </c>
    </row>
    <row r="576" spans="1:13" s="52" customFormat="1" ht="54" customHeight="1" x14ac:dyDescent="0.35">
      <c r="A576" s="56"/>
      <c r="B576" s="617" t="s">
        <v>74</v>
      </c>
      <c r="C576" s="68" t="s">
        <v>334</v>
      </c>
      <c r="D576" s="55" t="s">
        <v>221</v>
      </c>
      <c r="E576" s="55" t="s">
        <v>61</v>
      </c>
      <c r="F576" s="799" t="s">
        <v>61</v>
      </c>
      <c r="G576" s="800" t="s">
        <v>44</v>
      </c>
      <c r="H576" s="800" t="s">
        <v>36</v>
      </c>
      <c r="I576" s="801" t="s">
        <v>737</v>
      </c>
      <c r="J576" s="55" t="s">
        <v>75</v>
      </c>
      <c r="K576" s="69"/>
      <c r="L576" s="69">
        <f>M576-K576</f>
        <v>500</v>
      </c>
      <c r="M576" s="69">
        <v>500</v>
      </c>
    </row>
    <row r="577" spans="1:13" s="52" customFormat="1" ht="198" x14ac:dyDescent="0.35">
      <c r="A577" s="56"/>
      <c r="B577" s="617" t="s">
        <v>676</v>
      </c>
      <c r="C577" s="68" t="s">
        <v>334</v>
      </c>
      <c r="D577" s="55" t="s">
        <v>221</v>
      </c>
      <c r="E577" s="55" t="s">
        <v>61</v>
      </c>
      <c r="F577" s="799" t="s">
        <v>61</v>
      </c>
      <c r="G577" s="800" t="s">
        <v>44</v>
      </c>
      <c r="H577" s="800" t="s">
        <v>36</v>
      </c>
      <c r="I577" s="801" t="s">
        <v>670</v>
      </c>
      <c r="J577" s="55"/>
      <c r="K577" s="69">
        <f>K578</f>
        <v>6081.9</v>
      </c>
      <c r="L577" s="69">
        <f>L578</f>
        <v>0</v>
      </c>
      <c r="M577" s="69">
        <f>M578</f>
        <v>6081.9</v>
      </c>
    </row>
    <row r="578" spans="1:13" s="52" customFormat="1" ht="54" customHeight="1" x14ac:dyDescent="0.35">
      <c r="A578" s="56"/>
      <c r="B578" s="617" t="s">
        <v>74</v>
      </c>
      <c r="C578" s="68" t="s">
        <v>334</v>
      </c>
      <c r="D578" s="55" t="s">
        <v>221</v>
      </c>
      <c r="E578" s="55" t="s">
        <v>61</v>
      </c>
      <c r="F578" s="799" t="s">
        <v>61</v>
      </c>
      <c r="G578" s="800" t="s">
        <v>44</v>
      </c>
      <c r="H578" s="800" t="s">
        <v>36</v>
      </c>
      <c r="I578" s="801" t="s">
        <v>670</v>
      </c>
      <c r="J578" s="55" t="s">
        <v>75</v>
      </c>
      <c r="K578" s="69">
        <f>5473.7+608.2</f>
        <v>6081.9</v>
      </c>
      <c r="L578" s="69">
        <f>M578-K578</f>
        <v>0</v>
      </c>
      <c r="M578" s="69">
        <f>5473.7+608.2</f>
        <v>6081.9</v>
      </c>
    </row>
    <row r="579" spans="1:13" s="52" customFormat="1" ht="18" customHeight="1" x14ac:dyDescent="0.35">
      <c r="A579" s="56"/>
      <c r="B579" s="610" t="s">
        <v>184</v>
      </c>
      <c r="C579" s="68" t="s">
        <v>334</v>
      </c>
      <c r="D579" s="55" t="s">
        <v>221</v>
      </c>
      <c r="E579" s="55" t="s">
        <v>77</v>
      </c>
      <c r="F579" s="799"/>
      <c r="G579" s="800"/>
      <c r="H579" s="800"/>
      <c r="I579" s="801"/>
      <c r="J579" s="55"/>
      <c r="K579" s="69">
        <f t="shared" ref="K579:M583" si="186">K580</f>
        <v>762.6</v>
      </c>
      <c r="L579" s="69">
        <f t="shared" si="186"/>
        <v>0</v>
      </c>
      <c r="M579" s="69">
        <f t="shared" si="186"/>
        <v>762.6</v>
      </c>
    </row>
    <row r="580" spans="1:13" s="52" customFormat="1" ht="54" customHeight="1" x14ac:dyDescent="0.35">
      <c r="A580" s="56"/>
      <c r="B580" s="659" t="s">
        <v>211</v>
      </c>
      <c r="C580" s="68" t="s">
        <v>334</v>
      </c>
      <c r="D580" s="55" t="s">
        <v>221</v>
      </c>
      <c r="E580" s="55" t="s">
        <v>77</v>
      </c>
      <c r="F580" s="799" t="s">
        <v>61</v>
      </c>
      <c r="G580" s="800" t="s">
        <v>41</v>
      </c>
      <c r="H580" s="800" t="s">
        <v>42</v>
      </c>
      <c r="I580" s="801" t="s">
        <v>43</v>
      </c>
      <c r="J580" s="55"/>
      <c r="K580" s="69">
        <f t="shared" si="186"/>
        <v>762.6</v>
      </c>
      <c r="L580" s="69">
        <f t="shared" si="186"/>
        <v>0</v>
      </c>
      <c r="M580" s="69">
        <f t="shared" si="186"/>
        <v>762.6</v>
      </c>
    </row>
    <row r="581" spans="1:13" s="52" customFormat="1" ht="72" customHeight="1" x14ac:dyDescent="0.35">
      <c r="A581" s="56"/>
      <c r="B581" s="659" t="s">
        <v>212</v>
      </c>
      <c r="C581" s="68" t="s">
        <v>334</v>
      </c>
      <c r="D581" s="55" t="s">
        <v>221</v>
      </c>
      <c r="E581" s="55" t="s">
        <v>77</v>
      </c>
      <c r="F581" s="799" t="s">
        <v>61</v>
      </c>
      <c r="G581" s="800" t="s">
        <v>44</v>
      </c>
      <c r="H581" s="800" t="s">
        <v>42</v>
      </c>
      <c r="I581" s="801" t="s">
        <v>43</v>
      </c>
      <c r="J581" s="55"/>
      <c r="K581" s="69">
        <f>K582+K585</f>
        <v>762.6</v>
      </c>
      <c r="L581" s="69">
        <f t="shared" ref="L581" si="187">L582+L585</f>
        <v>0</v>
      </c>
      <c r="M581" s="69">
        <f>M582+M585</f>
        <v>762.6</v>
      </c>
    </row>
    <row r="582" spans="1:13" s="52" customFormat="1" ht="18" customHeight="1" x14ac:dyDescent="0.35">
      <c r="A582" s="56"/>
      <c r="B582" s="617" t="s">
        <v>291</v>
      </c>
      <c r="C582" s="68" t="s">
        <v>334</v>
      </c>
      <c r="D582" s="55" t="s">
        <v>221</v>
      </c>
      <c r="E582" s="55" t="s">
        <v>77</v>
      </c>
      <c r="F582" s="799" t="s">
        <v>61</v>
      </c>
      <c r="G582" s="800" t="s">
        <v>44</v>
      </c>
      <c r="H582" s="800" t="s">
        <v>38</v>
      </c>
      <c r="I582" s="801" t="s">
        <v>43</v>
      </c>
      <c r="J582" s="55"/>
      <c r="K582" s="69">
        <f t="shared" si="186"/>
        <v>450</v>
      </c>
      <c r="L582" s="69">
        <f t="shared" si="186"/>
        <v>0</v>
      </c>
      <c r="M582" s="69">
        <f t="shared" si="186"/>
        <v>450</v>
      </c>
    </row>
    <row r="583" spans="1:13" s="52" customFormat="1" ht="36" customHeight="1" x14ac:dyDescent="0.35">
      <c r="A583" s="56"/>
      <c r="B583" s="617" t="s">
        <v>209</v>
      </c>
      <c r="C583" s="68" t="s">
        <v>334</v>
      </c>
      <c r="D583" s="55" t="s">
        <v>221</v>
      </c>
      <c r="E583" s="55" t="s">
        <v>77</v>
      </c>
      <c r="F583" s="799" t="s">
        <v>61</v>
      </c>
      <c r="G583" s="800" t="s">
        <v>44</v>
      </c>
      <c r="H583" s="800" t="s">
        <v>38</v>
      </c>
      <c r="I583" s="801" t="s">
        <v>293</v>
      </c>
      <c r="J583" s="55"/>
      <c r="K583" s="69">
        <f t="shared" si="186"/>
        <v>450</v>
      </c>
      <c r="L583" s="69">
        <f t="shared" si="186"/>
        <v>0</v>
      </c>
      <c r="M583" s="69">
        <f t="shared" si="186"/>
        <v>450</v>
      </c>
    </row>
    <row r="584" spans="1:13" s="52" customFormat="1" ht="36" customHeight="1" x14ac:dyDescent="0.35">
      <c r="A584" s="56"/>
      <c r="B584" s="617" t="s">
        <v>118</v>
      </c>
      <c r="C584" s="68" t="s">
        <v>334</v>
      </c>
      <c r="D584" s="55" t="s">
        <v>221</v>
      </c>
      <c r="E584" s="55" t="s">
        <v>77</v>
      </c>
      <c r="F584" s="799" t="s">
        <v>61</v>
      </c>
      <c r="G584" s="800" t="s">
        <v>44</v>
      </c>
      <c r="H584" s="800" t="s">
        <v>38</v>
      </c>
      <c r="I584" s="801" t="s">
        <v>293</v>
      </c>
      <c r="J584" s="55" t="s">
        <v>119</v>
      </c>
      <c r="K584" s="69">
        <v>450</v>
      </c>
      <c r="L584" s="69">
        <f>M584-K584</f>
        <v>0</v>
      </c>
      <c r="M584" s="69">
        <v>450</v>
      </c>
    </row>
    <row r="585" spans="1:13" s="52" customFormat="1" ht="54" customHeight="1" x14ac:dyDescent="0.35">
      <c r="A585" s="56"/>
      <c r="B585" s="617" t="s">
        <v>295</v>
      </c>
      <c r="C585" s="68" t="s">
        <v>334</v>
      </c>
      <c r="D585" s="55" t="s">
        <v>221</v>
      </c>
      <c r="E585" s="55" t="s">
        <v>77</v>
      </c>
      <c r="F585" s="799" t="s">
        <v>61</v>
      </c>
      <c r="G585" s="800" t="s">
        <v>44</v>
      </c>
      <c r="H585" s="800" t="s">
        <v>63</v>
      </c>
      <c r="I585" s="801" t="s">
        <v>43</v>
      </c>
      <c r="J585" s="55"/>
      <c r="K585" s="69">
        <f t="shared" ref="K585:M586" si="188">K586</f>
        <v>312.60000000000002</v>
      </c>
      <c r="L585" s="69">
        <f t="shared" si="188"/>
        <v>0</v>
      </c>
      <c r="M585" s="69">
        <f t="shared" si="188"/>
        <v>312.60000000000002</v>
      </c>
    </row>
    <row r="586" spans="1:13" s="52" customFormat="1" ht="36" customHeight="1" x14ac:dyDescent="0.35">
      <c r="A586" s="56"/>
      <c r="B586" s="617" t="s">
        <v>490</v>
      </c>
      <c r="C586" s="68" t="s">
        <v>334</v>
      </c>
      <c r="D586" s="55" t="s">
        <v>221</v>
      </c>
      <c r="E586" s="55" t="s">
        <v>77</v>
      </c>
      <c r="F586" s="799" t="s">
        <v>61</v>
      </c>
      <c r="G586" s="800" t="s">
        <v>44</v>
      </c>
      <c r="H586" s="800" t="s">
        <v>63</v>
      </c>
      <c r="I586" s="801" t="s">
        <v>489</v>
      </c>
      <c r="J586" s="55"/>
      <c r="K586" s="69">
        <f t="shared" si="188"/>
        <v>312.60000000000002</v>
      </c>
      <c r="L586" s="69">
        <f t="shared" si="188"/>
        <v>0</v>
      </c>
      <c r="M586" s="69">
        <f t="shared" si="188"/>
        <v>312.60000000000002</v>
      </c>
    </row>
    <row r="587" spans="1:13" s="52" customFormat="1" ht="54" customHeight="1" x14ac:dyDescent="0.35">
      <c r="A587" s="56"/>
      <c r="B587" s="617" t="s">
        <v>74</v>
      </c>
      <c r="C587" s="68" t="s">
        <v>334</v>
      </c>
      <c r="D587" s="55" t="s">
        <v>221</v>
      </c>
      <c r="E587" s="55" t="s">
        <v>77</v>
      </c>
      <c r="F587" s="799" t="s">
        <v>61</v>
      </c>
      <c r="G587" s="800" t="s">
        <v>44</v>
      </c>
      <c r="H587" s="800" t="s">
        <v>63</v>
      </c>
      <c r="I587" s="801" t="s">
        <v>489</v>
      </c>
      <c r="J587" s="55" t="s">
        <v>75</v>
      </c>
      <c r="K587" s="69">
        <v>312.60000000000002</v>
      </c>
      <c r="L587" s="69">
        <f>M587-K587</f>
        <v>0</v>
      </c>
      <c r="M587" s="69">
        <v>312.60000000000002</v>
      </c>
    </row>
    <row r="588" spans="1:13" s="52" customFormat="1" ht="18" customHeight="1" x14ac:dyDescent="0.35">
      <c r="A588" s="56"/>
      <c r="B588" s="610" t="s">
        <v>186</v>
      </c>
      <c r="C588" s="68" t="s">
        <v>334</v>
      </c>
      <c r="D588" s="55" t="s">
        <v>223</v>
      </c>
      <c r="E588" s="55"/>
      <c r="F588" s="799"/>
      <c r="G588" s="800"/>
      <c r="H588" s="800"/>
      <c r="I588" s="801"/>
      <c r="J588" s="55"/>
      <c r="K588" s="69">
        <f>K589+K617</f>
        <v>52851.600000000006</v>
      </c>
      <c r="L588" s="69">
        <f t="shared" ref="L588" si="189">L589+L617</f>
        <v>698.69999999999959</v>
      </c>
      <c r="M588" s="69">
        <f>M589+M617</f>
        <v>53550.3</v>
      </c>
    </row>
    <row r="589" spans="1:13" s="52" customFormat="1" ht="18" customHeight="1" x14ac:dyDescent="0.35">
      <c r="A589" s="56"/>
      <c r="B589" s="610" t="s">
        <v>188</v>
      </c>
      <c r="C589" s="68" t="s">
        <v>334</v>
      </c>
      <c r="D589" s="55" t="s">
        <v>223</v>
      </c>
      <c r="E589" s="55" t="s">
        <v>36</v>
      </c>
      <c r="F589" s="799"/>
      <c r="G589" s="800"/>
      <c r="H589" s="800"/>
      <c r="I589" s="801"/>
      <c r="J589" s="55"/>
      <c r="K589" s="69">
        <f>K590</f>
        <v>38812.600000000006</v>
      </c>
      <c r="L589" s="69">
        <f t="shared" ref="L589" si="190">L590</f>
        <v>0</v>
      </c>
      <c r="M589" s="69">
        <f>M590</f>
        <v>38812.600000000006</v>
      </c>
    </row>
    <row r="590" spans="1:13" s="52" customFormat="1" ht="54" customHeight="1" x14ac:dyDescent="0.35">
      <c r="A590" s="56"/>
      <c r="B590" s="659" t="s">
        <v>211</v>
      </c>
      <c r="C590" s="68" t="s">
        <v>334</v>
      </c>
      <c r="D590" s="55" t="s">
        <v>223</v>
      </c>
      <c r="E590" s="55" t="s">
        <v>36</v>
      </c>
      <c r="F590" s="799" t="s">
        <v>61</v>
      </c>
      <c r="G590" s="800" t="s">
        <v>41</v>
      </c>
      <c r="H590" s="800" t="s">
        <v>42</v>
      </c>
      <c r="I590" s="801" t="s">
        <v>43</v>
      </c>
      <c r="J590" s="55"/>
      <c r="K590" s="69">
        <f>K591+K610</f>
        <v>38812.600000000006</v>
      </c>
      <c r="L590" s="69">
        <f t="shared" ref="L590" si="191">L591+L610</f>
        <v>0</v>
      </c>
      <c r="M590" s="69">
        <f>M591+M610</f>
        <v>38812.600000000006</v>
      </c>
    </row>
    <row r="591" spans="1:13" s="52" customFormat="1" ht="72" customHeight="1" x14ac:dyDescent="0.35">
      <c r="A591" s="56"/>
      <c r="B591" s="659" t="s">
        <v>212</v>
      </c>
      <c r="C591" s="68" t="s">
        <v>334</v>
      </c>
      <c r="D591" s="55" t="s">
        <v>223</v>
      </c>
      <c r="E591" s="55" t="s">
        <v>36</v>
      </c>
      <c r="F591" s="72" t="s">
        <v>61</v>
      </c>
      <c r="G591" s="138" t="s">
        <v>44</v>
      </c>
      <c r="H591" s="138" t="s">
        <v>42</v>
      </c>
      <c r="I591" s="139" t="s">
        <v>43</v>
      </c>
      <c r="J591" s="140"/>
      <c r="K591" s="69">
        <f>K592+K603</f>
        <v>35803.600000000006</v>
      </c>
      <c r="L591" s="69">
        <f t="shared" ref="L591" si="192">L592+L603</f>
        <v>0</v>
      </c>
      <c r="M591" s="69">
        <f>M592+M603</f>
        <v>35803.600000000006</v>
      </c>
    </row>
    <row r="592" spans="1:13" s="52" customFormat="1" ht="18" customHeight="1" x14ac:dyDescent="0.35">
      <c r="A592" s="56"/>
      <c r="B592" s="610" t="s">
        <v>337</v>
      </c>
      <c r="C592" s="68" t="s">
        <v>334</v>
      </c>
      <c r="D592" s="55" t="s">
        <v>223</v>
      </c>
      <c r="E592" s="55" t="s">
        <v>36</v>
      </c>
      <c r="F592" s="72" t="s">
        <v>61</v>
      </c>
      <c r="G592" s="138" t="s">
        <v>44</v>
      </c>
      <c r="H592" s="138" t="s">
        <v>61</v>
      </c>
      <c r="I592" s="139" t="s">
        <v>43</v>
      </c>
      <c r="J592" s="140"/>
      <c r="K592" s="69">
        <f>K593+K595+K597+K599+K601</f>
        <v>18848.300000000003</v>
      </c>
      <c r="L592" s="69">
        <f t="shared" ref="L592" si="193">L593+L595+L597+L599+L601</f>
        <v>0</v>
      </c>
      <c r="M592" s="69">
        <f>M593+M595+M597+M599+M601</f>
        <v>18848.300000000003</v>
      </c>
    </row>
    <row r="593" spans="1:13" s="52" customFormat="1" ht="36" customHeight="1" x14ac:dyDescent="0.35">
      <c r="A593" s="56"/>
      <c r="B593" s="642" t="s">
        <v>484</v>
      </c>
      <c r="C593" s="68" t="s">
        <v>334</v>
      </c>
      <c r="D593" s="55" t="s">
        <v>223</v>
      </c>
      <c r="E593" s="55" t="s">
        <v>36</v>
      </c>
      <c r="F593" s="72" t="s">
        <v>61</v>
      </c>
      <c r="G593" s="138" t="s">
        <v>44</v>
      </c>
      <c r="H593" s="138" t="s">
        <v>61</v>
      </c>
      <c r="I593" s="139" t="s">
        <v>89</v>
      </c>
      <c r="J593" s="140"/>
      <c r="K593" s="69">
        <f>K594</f>
        <v>15939.5</v>
      </c>
      <c r="L593" s="69">
        <f t="shared" ref="L593" si="194">L594</f>
        <v>0</v>
      </c>
      <c r="M593" s="69">
        <f>M594</f>
        <v>15939.5</v>
      </c>
    </row>
    <row r="594" spans="1:13" s="52" customFormat="1" ht="54" customHeight="1" x14ac:dyDescent="0.35">
      <c r="A594" s="56"/>
      <c r="B594" s="617" t="s">
        <v>74</v>
      </c>
      <c r="C594" s="68" t="s">
        <v>334</v>
      </c>
      <c r="D594" s="55" t="s">
        <v>223</v>
      </c>
      <c r="E594" s="55" t="s">
        <v>36</v>
      </c>
      <c r="F594" s="799" t="s">
        <v>61</v>
      </c>
      <c r="G594" s="800" t="s">
        <v>44</v>
      </c>
      <c r="H594" s="800" t="s">
        <v>61</v>
      </c>
      <c r="I594" s="801" t="s">
        <v>89</v>
      </c>
      <c r="J594" s="55" t="s">
        <v>75</v>
      </c>
      <c r="K594" s="69">
        <f>15582.2+357.3</f>
        <v>15939.5</v>
      </c>
      <c r="L594" s="69">
        <f>M594-K594</f>
        <v>0</v>
      </c>
      <c r="M594" s="69">
        <f>15582.2+357.3</f>
        <v>15939.5</v>
      </c>
    </row>
    <row r="595" spans="1:13" s="52" customFormat="1" ht="18" customHeight="1" x14ac:dyDescent="0.35">
      <c r="A595" s="56"/>
      <c r="B595" s="616" t="s">
        <v>485</v>
      </c>
      <c r="C595" s="68" t="s">
        <v>334</v>
      </c>
      <c r="D595" s="55" t="s">
        <v>223</v>
      </c>
      <c r="E595" s="55" t="s">
        <v>36</v>
      </c>
      <c r="F595" s="799" t="s">
        <v>61</v>
      </c>
      <c r="G595" s="800" t="s">
        <v>44</v>
      </c>
      <c r="H595" s="800" t="s">
        <v>61</v>
      </c>
      <c r="I595" s="801" t="s">
        <v>402</v>
      </c>
      <c r="J595" s="55"/>
      <c r="K595" s="69">
        <f>K596</f>
        <v>1169.9000000000001</v>
      </c>
      <c r="L595" s="69">
        <f t="shared" ref="L595" si="195">L596</f>
        <v>0</v>
      </c>
      <c r="M595" s="69">
        <f>M596</f>
        <v>1169.9000000000001</v>
      </c>
    </row>
    <row r="596" spans="1:13" s="52" customFormat="1" ht="54" customHeight="1" x14ac:dyDescent="0.35">
      <c r="A596" s="56"/>
      <c r="B596" s="617" t="s">
        <v>74</v>
      </c>
      <c r="C596" s="68" t="s">
        <v>334</v>
      </c>
      <c r="D596" s="55" t="s">
        <v>223</v>
      </c>
      <c r="E596" s="55" t="s">
        <v>36</v>
      </c>
      <c r="F596" s="799" t="s">
        <v>61</v>
      </c>
      <c r="G596" s="800" t="s">
        <v>44</v>
      </c>
      <c r="H596" s="800" t="s">
        <v>61</v>
      </c>
      <c r="I596" s="801" t="s">
        <v>402</v>
      </c>
      <c r="J596" s="55" t="s">
        <v>75</v>
      </c>
      <c r="K596" s="69">
        <f>1093.2+76.7</f>
        <v>1169.9000000000001</v>
      </c>
      <c r="L596" s="69">
        <f>M596-K596</f>
        <v>0</v>
      </c>
      <c r="M596" s="69">
        <f>1093.2+76.7</f>
        <v>1169.9000000000001</v>
      </c>
    </row>
    <row r="597" spans="1:13" s="52" customFormat="1" ht="36" customHeight="1" x14ac:dyDescent="0.35">
      <c r="A597" s="56"/>
      <c r="B597" s="617" t="s">
        <v>335</v>
      </c>
      <c r="C597" s="68" t="s">
        <v>334</v>
      </c>
      <c r="D597" s="55" t="s">
        <v>223</v>
      </c>
      <c r="E597" s="55" t="s">
        <v>36</v>
      </c>
      <c r="F597" s="72" t="s">
        <v>61</v>
      </c>
      <c r="G597" s="138" t="s">
        <v>44</v>
      </c>
      <c r="H597" s="138" t="s">
        <v>61</v>
      </c>
      <c r="I597" s="139" t="s">
        <v>336</v>
      </c>
      <c r="J597" s="140"/>
      <c r="K597" s="69">
        <f>K598</f>
        <v>722.9</v>
      </c>
      <c r="L597" s="69">
        <f t="shared" ref="L597" si="196">L598</f>
        <v>0</v>
      </c>
      <c r="M597" s="69">
        <f>M598</f>
        <v>722.9</v>
      </c>
    </row>
    <row r="598" spans="1:13" s="52" customFormat="1" ht="54" customHeight="1" x14ac:dyDescent="0.35">
      <c r="A598" s="56"/>
      <c r="B598" s="617" t="s">
        <v>74</v>
      </c>
      <c r="C598" s="68" t="s">
        <v>334</v>
      </c>
      <c r="D598" s="55" t="s">
        <v>223</v>
      </c>
      <c r="E598" s="55" t="s">
        <v>36</v>
      </c>
      <c r="F598" s="72" t="s">
        <v>61</v>
      </c>
      <c r="G598" s="138" t="s">
        <v>44</v>
      </c>
      <c r="H598" s="138" t="s">
        <v>61</v>
      </c>
      <c r="I598" s="139" t="s">
        <v>336</v>
      </c>
      <c r="J598" s="140" t="s">
        <v>75</v>
      </c>
      <c r="K598" s="69">
        <f>698.3+24.6</f>
        <v>722.9</v>
      </c>
      <c r="L598" s="69">
        <f>M598-K598</f>
        <v>0</v>
      </c>
      <c r="M598" s="69">
        <f>698.3+24.6</f>
        <v>722.9</v>
      </c>
    </row>
    <row r="599" spans="1:13" s="52" customFormat="1" ht="36" x14ac:dyDescent="0.35">
      <c r="A599" s="56"/>
      <c r="B599" s="617" t="s">
        <v>673</v>
      </c>
      <c r="C599" s="68" t="s">
        <v>334</v>
      </c>
      <c r="D599" s="55" t="s">
        <v>223</v>
      </c>
      <c r="E599" s="55" t="s">
        <v>36</v>
      </c>
      <c r="F599" s="799" t="s">
        <v>61</v>
      </c>
      <c r="G599" s="800" t="s">
        <v>44</v>
      </c>
      <c r="H599" s="800" t="s">
        <v>61</v>
      </c>
      <c r="I599" s="801" t="s">
        <v>338</v>
      </c>
      <c r="J599" s="55"/>
      <c r="K599" s="69">
        <f>K600</f>
        <v>577</v>
      </c>
      <c r="L599" s="69">
        <f t="shared" ref="L599" si="197">L600</f>
        <v>0</v>
      </c>
      <c r="M599" s="69">
        <f>M600</f>
        <v>577</v>
      </c>
    </row>
    <row r="600" spans="1:13" s="52" customFormat="1" ht="54" customHeight="1" x14ac:dyDescent="0.35">
      <c r="A600" s="56"/>
      <c r="B600" s="617" t="s">
        <v>74</v>
      </c>
      <c r="C600" s="68" t="s">
        <v>334</v>
      </c>
      <c r="D600" s="55" t="s">
        <v>223</v>
      </c>
      <c r="E600" s="55" t="s">
        <v>36</v>
      </c>
      <c r="F600" s="799" t="s">
        <v>61</v>
      </c>
      <c r="G600" s="800" t="s">
        <v>44</v>
      </c>
      <c r="H600" s="800" t="s">
        <v>61</v>
      </c>
      <c r="I600" s="801" t="s">
        <v>338</v>
      </c>
      <c r="J600" s="55" t="s">
        <v>75</v>
      </c>
      <c r="K600" s="69">
        <v>577</v>
      </c>
      <c r="L600" s="69">
        <f>M600-K600</f>
        <v>0</v>
      </c>
      <c r="M600" s="69">
        <v>577</v>
      </c>
    </row>
    <row r="601" spans="1:13" s="52" customFormat="1" ht="18" customHeight="1" x14ac:dyDescent="0.35">
      <c r="A601" s="56"/>
      <c r="B601" s="617" t="s">
        <v>571</v>
      </c>
      <c r="C601" s="68" t="s">
        <v>334</v>
      </c>
      <c r="D601" s="55" t="s">
        <v>223</v>
      </c>
      <c r="E601" s="55" t="s">
        <v>36</v>
      </c>
      <c r="F601" s="799" t="s">
        <v>61</v>
      </c>
      <c r="G601" s="800" t="s">
        <v>44</v>
      </c>
      <c r="H601" s="800" t="s">
        <v>61</v>
      </c>
      <c r="I601" s="801" t="s">
        <v>570</v>
      </c>
      <c r="J601" s="55"/>
      <c r="K601" s="69">
        <f>K602</f>
        <v>439</v>
      </c>
      <c r="L601" s="69">
        <f t="shared" ref="L601" si="198">L602</f>
        <v>0</v>
      </c>
      <c r="M601" s="69">
        <f>M602</f>
        <v>439</v>
      </c>
    </row>
    <row r="602" spans="1:13" s="52" customFormat="1" ht="54" customHeight="1" x14ac:dyDescent="0.35">
      <c r="A602" s="56"/>
      <c r="B602" s="617" t="s">
        <v>74</v>
      </c>
      <c r="C602" s="68" t="s">
        <v>334</v>
      </c>
      <c r="D602" s="55" t="s">
        <v>223</v>
      </c>
      <c r="E602" s="55" t="s">
        <v>36</v>
      </c>
      <c r="F602" s="799" t="s">
        <v>61</v>
      </c>
      <c r="G602" s="800" t="s">
        <v>44</v>
      </c>
      <c r="H602" s="800" t="s">
        <v>61</v>
      </c>
      <c r="I602" s="801" t="s">
        <v>570</v>
      </c>
      <c r="J602" s="55" t="s">
        <v>75</v>
      </c>
      <c r="K602" s="69">
        <f>395.1+43.9</f>
        <v>439</v>
      </c>
      <c r="L602" s="69">
        <f>M602-K602</f>
        <v>0</v>
      </c>
      <c r="M602" s="69">
        <f>395.1+43.9</f>
        <v>439</v>
      </c>
    </row>
    <row r="603" spans="1:13" s="52" customFormat="1" ht="36" customHeight="1" x14ac:dyDescent="0.35">
      <c r="A603" s="56"/>
      <c r="B603" s="617" t="s">
        <v>339</v>
      </c>
      <c r="C603" s="68" t="s">
        <v>334</v>
      </c>
      <c r="D603" s="55" t="s">
        <v>223</v>
      </c>
      <c r="E603" s="55" t="s">
        <v>36</v>
      </c>
      <c r="F603" s="72" t="s">
        <v>61</v>
      </c>
      <c r="G603" s="138" t="s">
        <v>44</v>
      </c>
      <c r="H603" s="138" t="s">
        <v>50</v>
      </c>
      <c r="I603" s="801" t="s">
        <v>43</v>
      </c>
      <c r="J603" s="55"/>
      <c r="K603" s="69">
        <f>K604+K608</f>
        <v>16955.3</v>
      </c>
      <c r="L603" s="69">
        <f>L604+L608</f>
        <v>0</v>
      </c>
      <c r="M603" s="69">
        <f>M604+M608</f>
        <v>16955.3</v>
      </c>
    </row>
    <row r="604" spans="1:13" s="52" customFormat="1" ht="36" customHeight="1" x14ac:dyDescent="0.35">
      <c r="A604" s="56"/>
      <c r="B604" s="642" t="s">
        <v>484</v>
      </c>
      <c r="C604" s="68" t="s">
        <v>334</v>
      </c>
      <c r="D604" s="55" t="s">
        <v>223</v>
      </c>
      <c r="E604" s="55" t="s">
        <v>36</v>
      </c>
      <c r="F604" s="72" t="s">
        <v>61</v>
      </c>
      <c r="G604" s="138" t="s">
        <v>44</v>
      </c>
      <c r="H604" s="138" t="s">
        <v>50</v>
      </c>
      <c r="I604" s="139" t="s">
        <v>89</v>
      </c>
      <c r="J604" s="140"/>
      <c r="K604" s="69">
        <f>K605+K606+K607</f>
        <v>16633.7</v>
      </c>
      <c r="L604" s="69">
        <f t="shared" ref="L604" si="199">L605+L606+L607</f>
        <v>266.29999999999995</v>
      </c>
      <c r="M604" s="69">
        <f>M605+M606+M607</f>
        <v>16900</v>
      </c>
    </row>
    <row r="605" spans="1:13" s="52" customFormat="1" ht="108" customHeight="1" x14ac:dyDescent="0.35">
      <c r="A605" s="56"/>
      <c r="B605" s="610" t="s">
        <v>48</v>
      </c>
      <c r="C605" s="68" t="s">
        <v>334</v>
      </c>
      <c r="D605" s="55" t="s">
        <v>223</v>
      </c>
      <c r="E605" s="55" t="s">
        <v>36</v>
      </c>
      <c r="F605" s="799" t="s">
        <v>61</v>
      </c>
      <c r="G605" s="800" t="s">
        <v>44</v>
      </c>
      <c r="H605" s="800" t="s">
        <v>50</v>
      </c>
      <c r="I605" s="801" t="s">
        <v>89</v>
      </c>
      <c r="J605" s="55" t="s">
        <v>49</v>
      </c>
      <c r="K605" s="69">
        <f>15034.6+296.4</f>
        <v>15331</v>
      </c>
      <c r="L605" s="69">
        <f>M605-K605</f>
        <v>0</v>
      </c>
      <c r="M605" s="69">
        <f>15034.6+296.4</f>
        <v>15331</v>
      </c>
    </row>
    <row r="606" spans="1:13" s="52" customFormat="1" ht="54" customHeight="1" x14ac:dyDescent="0.35">
      <c r="A606" s="56"/>
      <c r="B606" s="610" t="s">
        <v>53</v>
      </c>
      <c r="C606" s="68" t="s">
        <v>334</v>
      </c>
      <c r="D606" s="55" t="s">
        <v>223</v>
      </c>
      <c r="E606" s="55" t="s">
        <v>36</v>
      </c>
      <c r="F606" s="799" t="s">
        <v>61</v>
      </c>
      <c r="G606" s="800" t="s">
        <v>44</v>
      </c>
      <c r="H606" s="800" t="s">
        <v>50</v>
      </c>
      <c r="I606" s="801" t="s">
        <v>89</v>
      </c>
      <c r="J606" s="55" t="s">
        <v>54</v>
      </c>
      <c r="K606" s="69">
        <f>1168.5+84.2</f>
        <v>1252.7</v>
      </c>
      <c r="L606" s="69">
        <f>M606-K606</f>
        <v>266.29999999999995</v>
      </c>
      <c r="M606" s="69">
        <f>1168.5+84.2+266.3</f>
        <v>1519</v>
      </c>
    </row>
    <row r="607" spans="1:13" s="52" customFormat="1" ht="18" customHeight="1" x14ac:dyDescent="0.35">
      <c r="A607" s="56"/>
      <c r="B607" s="610" t="s">
        <v>55</v>
      </c>
      <c r="C607" s="68" t="s">
        <v>334</v>
      </c>
      <c r="D607" s="55" t="s">
        <v>223</v>
      </c>
      <c r="E607" s="55" t="s">
        <v>36</v>
      </c>
      <c r="F607" s="799" t="s">
        <v>61</v>
      </c>
      <c r="G607" s="800" t="s">
        <v>44</v>
      </c>
      <c r="H607" s="800" t="s">
        <v>50</v>
      </c>
      <c r="I607" s="801" t="s">
        <v>89</v>
      </c>
      <c r="J607" s="55" t="s">
        <v>56</v>
      </c>
      <c r="K607" s="69">
        <v>50</v>
      </c>
      <c r="L607" s="69">
        <f>M607-K607</f>
        <v>0</v>
      </c>
      <c r="M607" s="69">
        <v>50</v>
      </c>
    </row>
    <row r="608" spans="1:13" s="52" customFormat="1" ht="18" x14ac:dyDescent="0.35">
      <c r="A608" s="56"/>
      <c r="B608" s="616" t="s">
        <v>485</v>
      </c>
      <c r="C608" s="68" t="s">
        <v>334</v>
      </c>
      <c r="D608" s="55" t="s">
        <v>223</v>
      </c>
      <c r="E608" s="55" t="s">
        <v>36</v>
      </c>
      <c r="F608" s="799" t="s">
        <v>61</v>
      </c>
      <c r="G608" s="800" t="s">
        <v>44</v>
      </c>
      <c r="H608" s="800" t="s">
        <v>50</v>
      </c>
      <c r="I608" s="801" t="s">
        <v>402</v>
      </c>
      <c r="J608" s="55"/>
      <c r="K608" s="69">
        <f>K609</f>
        <v>321.60000000000002</v>
      </c>
      <c r="L608" s="69">
        <f>L609</f>
        <v>-266.3</v>
      </c>
      <c r="M608" s="69">
        <f>M609</f>
        <v>55.300000000000011</v>
      </c>
    </row>
    <row r="609" spans="1:13" s="52" customFormat="1" ht="54" x14ac:dyDescent="0.35">
      <c r="A609" s="56"/>
      <c r="B609" s="610" t="s">
        <v>53</v>
      </c>
      <c r="C609" s="68" t="s">
        <v>334</v>
      </c>
      <c r="D609" s="55" t="s">
        <v>223</v>
      </c>
      <c r="E609" s="55" t="s">
        <v>36</v>
      </c>
      <c r="F609" s="799" t="s">
        <v>61</v>
      </c>
      <c r="G609" s="800" t="s">
        <v>44</v>
      </c>
      <c r="H609" s="800" t="s">
        <v>50</v>
      </c>
      <c r="I609" s="801" t="s">
        <v>402</v>
      </c>
      <c r="J609" s="55" t="s">
        <v>54</v>
      </c>
      <c r="K609" s="69">
        <f>55.3+266.3</f>
        <v>321.60000000000002</v>
      </c>
      <c r="L609" s="69">
        <f>M609-K609</f>
        <v>-266.3</v>
      </c>
      <c r="M609" s="69">
        <f>55.3+266.3-266.3</f>
        <v>55.300000000000011</v>
      </c>
    </row>
    <row r="610" spans="1:13" s="52" customFormat="1" ht="54" customHeight="1" x14ac:dyDescent="0.35">
      <c r="A610" s="56"/>
      <c r="B610" s="610" t="s">
        <v>347</v>
      </c>
      <c r="C610" s="68" t="s">
        <v>334</v>
      </c>
      <c r="D610" s="55" t="s">
        <v>223</v>
      </c>
      <c r="E610" s="55" t="s">
        <v>36</v>
      </c>
      <c r="F610" s="72" t="s">
        <v>61</v>
      </c>
      <c r="G610" s="138" t="s">
        <v>87</v>
      </c>
      <c r="H610" s="138" t="s">
        <v>42</v>
      </c>
      <c r="I610" s="801" t="s">
        <v>43</v>
      </c>
      <c r="J610" s="55"/>
      <c r="K610" s="69">
        <f>K611</f>
        <v>3009</v>
      </c>
      <c r="L610" s="69">
        <f t="shared" ref="L610" si="200">L611</f>
        <v>0</v>
      </c>
      <c r="M610" s="69">
        <f>M611</f>
        <v>3009</v>
      </c>
    </row>
    <row r="611" spans="1:13" s="52" customFormat="1" ht="90" customHeight="1" x14ac:dyDescent="0.35">
      <c r="A611" s="56"/>
      <c r="B611" s="617" t="s">
        <v>340</v>
      </c>
      <c r="C611" s="68" t="s">
        <v>334</v>
      </c>
      <c r="D611" s="55" t="s">
        <v>223</v>
      </c>
      <c r="E611" s="55" t="s">
        <v>36</v>
      </c>
      <c r="F611" s="72" t="s">
        <v>61</v>
      </c>
      <c r="G611" s="138" t="s">
        <v>87</v>
      </c>
      <c r="H611" s="138" t="s">
        <v>61</v>
      </c>
      <c r="I611" s="801" t="s">
        <v>43</v>
      </c>
      <c r="J611" s="55"/>
      <c r="K611" s="69">
        <f>K612+K615</f>
        <v>3009</v>
      </c>
      <c r="L611" s="69">
        <f t="shared" ref="L611" si="201">L612+L615</f>
        <v>0</v>
      </c>
      <c r="M611" s="69">
        <f>M612+M615</f>
        <v>3009</v>
      </c>
    </row>
    <row r="612" spans="1:13" s="52" customFormat="1" ht="36" customHeight="1" x14ac:dyDescent="0.35">
      <c r="A612" s="56"/>
      <c r="B612" s="617" t="s">
        <v>335</v>
      </c>
      <c r="C612" s="68" t="s">
        <v>334</v>
      </c>
      <c r="D612" s="55" t="s">
        <v>223</v>
      </c>
      <c r="E612" s="55" t="s">
        <v>36</v>
      </c>
      <c r="F612" s="72" t="s">
        <v>61</v>
      </c>
      <c r="G612" s="138" t="s">
        <v>87</v>
      </c>
      <c r="H612" s="138" t="s">
        <v>61</v>
      </c>
      <c r="I612" s="139" t="s">
        <v>336</v>
      </c>
      <c r="J612" s="140"/>
      <c r="K612" s="69">
        <f>K614+K613</f>
        <v>2964.6</v>
      </c>
      <c r="L612" s="69">
        <f t="shared" ref="L612" si="202">L614+L613</f>
        <v>0</v>
      </c>
      <c r="M612" s="69">
        <f>M614+M613</f>
        <v>2964.6</v>
      </c>
    </row>
    <row r="613" spans="1:13" s="52" customFormat="1" ht="54" customHeight="1" x14ac:dyDescent="0.35">
      <c r="A613" s="56"/>
      <c r="B613" s="617" t="s">
        <v>53</v>
      </c>
      <c r="C613" s="68" t="s">
        <v>334</v>
      </c>
      <c r="D613" s="55" t="s">
        <v>223</v>
      </c>
      <c r="E613" s="55" t="s">
        <v>36</v>
      </c>
      <c r="F613" s="72" t="s">
        <v>61</v>
      </c>
      <c r="G613" s="138" t="s">
        <v>87</v>
      </c>
      <c r="H613" s="138" t="s">
        <v>61</v>
      </c>
      <c r="I613" s="139" t="s">
        <v>336</v>
      </c>
      <c r="J613" s="140" t="s">
        <v>54</v>
      </c>
      <c r="K613" s="69">
        <f>405.2+29.7+476.7+2037.5</f>
        <v>2949.1</v>
      </c>
      <c r="L613" s="69">
        <f>M613-K613</f>
        <v>0</v>
      </c>
      <c r="M613" s="69">
        <f>405.2+29.7+476.7+2037.5</f>
        <v>2949.1</v>
      </c>
    </row>
    <row r="614" spans="1:13" s="52" customFormat="1" ht="54" customHeight="1" x14ac:dyDescent="0.35">
      <c r="A614" s="56"/>
      <c r="B614" s="617" t="s">
        <v>74</v>
      </c>
      <c r="C614" s="68" t="s">
        <v>334</v>
      </c>
      <c r="D614" s="55" t="s">
        <v>223</v>
      </c>
      <c r="E614" s="55" t="s">
        <v>36</v>
      </c>
      <c r="F614" s="799" t="s">
        <v>61</v>
      </c>
      <c r="G614" s="800" t="s">
        <v>87</v>
      </c>
      <c r="H614" s="800" t="s">
        <v>61</v>
      </c>
      <c r="I614" s="801" t="s">
        <v>336</v>
      </c>
      <c r="J614" s="55" t="s">
        <v>75</v>
      </c>
      <c r="K614" s="69">
        <v>15.5</v>
      </c>
      <c r="L614" s="69">
        <f>M614-K614</f>
        <v>0</v>
      </c>
      <c r="M614" s="69">
        <v>15.5</v>
      </c>
    </row>
    <row r="615" spans="1:13" s="52" customFormat="1" ht="306" customHeight="1" x14ac:dyDescent="0.35">
      <c r="A615" s="56"/>
      <c r="B615" s="617" t="s">
        <v>654</v>
      </c>
      <c r="C615" s="68" t="s">
        <v>334</v>
      </c>
      <c r="D615" s="55" t="s">
        <v>223</v>
      </c>
      <c r="E615" s="55" t="s">
        <v>36</v>
      </c>
      <c r="F615" s="799" t="s">
        <v>61</v>
      </c>
      <c r="G615" s="800" t="s">
        <v>87</v>
      </c>
      <c r="H615" s="800" t="s">
        <v>61</v>
      </c>
      <c r="I615" s="801" t="s">
        <v>433</v>
      </c>
      <c r="J615" s="55"/>
      <c r="K615" s="69">
        <f>K616</f>
        <v>44.4</v>
      </c>
      <c r="L615" s="69">
        <f t="shared" ref="L615" si="203">L616</f>
        <v>0</v>
      </c>
      <c r="M615" s="69">
        <f>M616</f>
        <v>44.4</v>
      </c>
    </row>
    <row r="616" spans="1:13" s="52" customFormat="1" ht="54" customHeight="1" x14ac:dyDescent="0.35">
      <c r="A616" s="56"/>
      <c r="B616" s="617" t="s">
        <v>74</v>
      </c>
      <c r="C616" s="68" t="s">
        <v>334</v>
      </c>
      <c r="D616" s="55" t="s">
        <v>223</v>
      </c>
      <c r="E616" s="55" t="s">
        <v>36</v>
      </c>
      <c r="F616" s="799" t="s">
        <v>61</v>
      </c>
      <c r="G616" s="800" t="s">
        <v>87</v>
      </c>
      <c r="H616" s="800" t="s">
        <v>61</v>
      </c>
      <c r="I616" s="801" t="s">
        <v>433</v>
      </c>
      <c r="J616" s="55" t="s">
        <v>75</v>
      </c>
      <c r="K616" s="69">
        <f>4.4+40</f>
        <v>44.4</v>
      </c>
      <c r="L616" s="69">
        <f>M616-K616</f>
        <v>0</v>
      </c>
      <c r="M616" s="69">
        <f>4.4+40</f>
        <v>44.4</v>
      </c>
    </row>
    <row r="617" spans="1:13" s="52" customFormat="1" ht="36" customHeight="1" x14ac:dyDescent="0.35">
      <c r="A617" s="56"/>
      <c r="B617" s="610" t="s">
        <v>341</v>
      </c>
      <c r="C617" s="68" t="s">
        <v>334</v>
      </c>
      <c r="D617" s="55" t="s">
        <v>223</v>
      </c>
      <c r="E617" s="55" t="s">
        <v>50</v>
      </c>
      <c r="F617" s="72"/>
      <c r="G617" s="138"/>
      <c r="H617" s="138"/>
      <c r="I617" s="139"/>
      <c r="J617" s="140"/>
      <c r="K617" s="69">
        <f>K618</f>
        <v>14039</v>
      </c>
      <c r="L617" s="69">
        <f t="shared" ref="L617" si="204">L618</f>
        <v>698.69999999999959</v>
      </c>
      <c r="M617" s="69">
        <f>M618</f>
        <v>14737.699999999997</v>
      </c>
    </row>
    <row r="618" spans="1:13" s="52" customFormat="1" ht="54" customHeight="1" x14ac:dyDescent="0.35">
      <c r="A618" s="56"/>
      <c r="B618" s="659" t="s">
        <v>211</v>
      </c>
      <c r="C618" s="68" t="s">
        <v>334</v>
      </c>
      <c r="D618" s="55" t="s">
        <v>223</v>
      </c>
      <c r="E618" s="55" t="s">
        <v>50</v>
      </c>
      <c r="F618" s="72" t="s">
        <v>61</v>
      </c>
      <c r="G618" s="138" t="s">
        <v>41</v>
      </c>
      <c r="H618" s="138" t="s">
        <v>42</v>
      </c>
      <c r="I618" s="139" t="s">
        <v>43</v>
      </c>
      <c r="J618" s="140"/>
      <c r="K618" s="69">
        <f>K623+K619</f>
        <v>14039</v>
      </c>
      <c r="L618" s="69">
        <f t="shared" ref="L618" si="205">L623+L619</f>
        <v>698.69999999999959</v>
      </c>
      <c r="M618" s="69">
        <f>M623+M619</f>
        <v>14737.699999999997</v>
      </c>
    </row>
    <row r="619" spans="1:13" s="52" customFormat="1" ht="54" customHeight="1" x14ac:dyDescent="0.35">
      <c r="A619" s="56"/>
      <c r="B619" s="610" t="s">
        <v>347</v>
      </c>
      <c r="C619" s="68" t="s">
        <v>334</v>
      </c>
      <c r="D619" s="55" t="s">
        <v>223</v>
      </c>
      <c r="E619" s="55" t="s">
        <v>50</v>
      </c>
      <c r="F619" s="799" t="s">
        <v>61</v>
      </c>
      <c r="G619" s="800" t="s">
        <v>87</v>
      </c>
      <c r="H619" s="800" t="s">
        <v>42</v>
      </c>
      <c r="I619" s="801" t="s">
        <v>43</v>
      </c>
      <c r="J619" s="55"/>
      <c r="K619" s="69">
        <f t="shared" ref="K619:M621" si="206">K620</f>
        <v>947.8</v>
      </c>
      <c r="L619" s="69">
        <f t="shared" si="206"/>
        <v>200</v>
      </c>
      <c r="M619" s="69">
        <f t="shared" si="206"/>
        <v>1147.8</v>
      </c>
    </row>
    <row r="620" spans="1:13" s="52" customFormat="1" ht="90" customHeight="1" x14ac:dyDescent="0.35">
      <c r="A620" s="56"/>
      <c r="B620" s="679" t="s">
        <v>340</v>
      </c>
      <c r="C620" s="68" t="s">
        <v>334</v>
      </c>
      <c r="D620" s="55" t="s">
        <v>223</v>
      </c>
      <c r="E620" s="55" t="s">
        <v>50</v>
      </c>
      <c r="F620" s="799" t="s">
        <v>61</v>
      </c>
      <c r="G620" s="800" t="s">
        <v>87</v>
      </c>
      <c r="H620" s="800" t="s">
        <v>61</v>
      </c>
      <c r="I620" s="801" t="s">
        <v>43</v>
      </c>
      <c r="J620" s="55"/>
      <c r="K620" s="69">
        <f t="shared" si="206"/>
        <v>947.8</v>
      </c>
      <c r="L620" s="69">
        <f t="shared" si="206"/>
        <v>200</v>
      </c>
      <c r="M620" s="69">
        <f t="shared" si="206"/>
        <v>1147.8</v>
      </c>
    </row>
    <row r="621" spans="1:13" s="52" customFormat="1" ht="36" customHeight="1" x14ac:dyDescent="0.35">
      <c r="A621" s="56"/>
      <c r="B621" s="617" t="s">
        <v>335</v>
      </c>
      <c r="C621" s="68" t="s">
        <v>334</v>
      </c>
      <c r="D621" s="55" t="s">
        <v>223</v>
      </c>
      <c r="E621" s="55" t="s">
        <v>50</v>
      </c>
      <c r="F621" s="799" t="s">
        <v>61</v>
      </c>
      <c r="G621" s="800" t="s">
        <v>87</v>
      </c>
      <c r="H621" s="800" t="s">
        <v>61</v>
      </c>
      <c r="I621" s="801" t="s">
        <v>336</v>
      </c>
      <c r="J621" s="55"/>
      <c r="K621" s="69">
        <f t="shared" si="206"/>
        <v>947.8</v>
      </c>
      <c r="L621" s="69">
        <f t="shared" si="206"/>
        <v>200</v>
      </c>
      <c r="M621" s="69">
        <f t="shared" si="206"/>
        <v>1147.8</v>
      </c>
    </row>
    <row r="622" spans="1:13" s="52" customFormat="1" ht="54" customHeight="1" x14ac:dyDescent="0.35">
      <c r="A622" s="56"/>
      <c r="B622" s="610" t="s">
        <v>53</v>
      </c>
      <c r="C622" s="68" t="s">
        <v>334</v>
      </c>
      <c r="D622" s="55" t="s">
        <v>223</v>
      </c>
      <c r="E622" s="55" t="s">
        <v>50</v>
      </c>
      <c r="F622" s="799" t="s">
        <v>61</v>
      </c>
      <c r="G622" s="800" t="s">
        <v>87</v>
      </c>
      <c r="H622" s="800" t="s">
        <v>61</v>
      </c>
      <c r="I622" s="801" t="s">
        <v>336</v>
      </c>
      <c r="J622" s="55" t="s">
        <v>54</v>
      </c>
      <c r="K622" s="69">
        <v>947.8</v>
      </c>
      <c r="L622" s="69">
        <f>M622-K622</f>
        <v>200</v>
      </c>
      <c r="M622" s="69">
        <f>947.8+200</f>
        <v>1147.8</v>
      </c>
    </row>
    <row r="623" spans="1:13" s="52" customFormat="1" ht="54" customHeight="1" x14ac:dyDescent="0.35">
      <c r="A623" s="56"/>
      <c r="B623" s="610" t="s">
        <v>213</v>
      </c>
      <c r="C623" s="68" t="s">
        <v>334</v>
      </c>
      <c r="D623" s="55" t="s">
        <v>223</v>
      </c>
      <c r="E623" s="55" t="s">
        <v>50</v>
      </c>
      <c r="F623" s="799" t="s">
        <v>61</v>
      </c>
      <c r="G623" s="800" t="s">
        <v>29</v>
      </c>
      <c r="H623" s="800" t="s">
        <v>42</v>
      </c>
      <c r="I623" s="801" t="s">
        <v>43</v>
      </c>
      <c r="J623" s="55"/>
      <c r="K623" s="69">
        <f>K624</f>
        <v>13091.2</v>
      </c>
      <c r="L623" s="69">
        <f t="shared" ref="L623" si="207">L624</f>
        <v>498.69999999999965</v>
      </c>
      <c r="M623" s="69">
        <f>M624</f>
        <v>13589.899999999998</v>
      </c>
    </row>
    <row r="624" spans="1:13" s="52" customFormat="1" ht="36" customHeight="1" x14ac:dyDescent="0.35">
      <c r="A624" s="56"/>
      <c r="B624" s="610" t="s">
        <v>296</v>
      </c>
      <c r="C624" s="68" t="s">
        <v>334</v>
      </c>
      <c r="D624" s="55" t="s">
        <v>223</v>
      </c>
      <c r="E624" s="55" t="s">
        <v>50</v>
      </c>
      <c r="F624" s="799" t="s">
        <v>61</v>
      </c>
      <c r="G624" s="800" t="s">
        <v>29</v>
      </c>
      <c r="H624" s="800" t="s">
        <v>36</v>
      </c>
      <c r="I624" s="801" t="s">
        <v>43</v>
      </c>
      <c r="J624" s="55"/>
      <c r="K624" s="69">
        <f>K625+K629</f>
        <v>13091.2</v>
      </c>
      <c r="L624" s="69">
        <f t="shared" ref="L624" si="208">L625+L629</f>
        <v>498.69999999999965</v>
      </c>
      <c r="M624" s="69">
        <f>M625+M629</f>
        <v>13589.899999999998</v>
      </c>
    </row>
    <row r="625" spans="1:13" s="52" customFormat="1" ht="36" customHeight="1" x14ac:dyDescent="0.35">
      <c r="A625" s="56"/>
      <c r="B625" s="610" t="s">
        <v>46</v>
      </c>
      <c r="C625" s="68" t="s">
        <v>334</v>
      </c>
      <c r="D625" s="55" t="s">
        <v>223</v>
      </c>
      <c r="E625" s="55" t="s">
        <v>50</v>
      </c>
      <c r="F625" s="799" t="s">
        <v>61</v>
      </c>
      <c r="G625" s="800" t="s">
        <v>29</v>
      </c>
      <c r="H625" s="800" t="s">
        <v>36</v>
      </c>
      <c r="I625" s="801" t="s">
        <v>47</v>
      </c>
      <c r="J625" s="140"/>
      <c r="K625" s="69">
        <f>K626+K627+K628</f>
        <v>3570.7000000000003</v>
      </c>
      <c r="L625" s="69">
        <f t="shared" ref="L625" si="209">L626+L627+L628</f>
        <v>-1.7053025658242404E-13</v>
      </c>
      <c r="M625" s="69">
        <f>M626+M627+M628</f>
        <v>3570.7</v>
      </c>
    </row>
    <row r="626" spans="1:13" s="52" customFormat="1" ht="108" customHeight="1" x14ac:dyDescent="0.35">
      <c r="A626" s="56"/>
      <c r="B626" s="610" t="s">
        <v>48</v>
      </c>
      <c r="C626" s="68" t="s">
        <v>334</v>
      </c>
      <c r="D626" s="55" t="s">
        <v>223</v>
      </c>
      <c r="E626" s="55" t="s">
        <v>50</v>
      </c>
      <c r="F626" s="799" t="s">
        <v>61</v>
      </c>
      <c r="G626" s="800" t="s">
        <v>29</v>
      </c>
      <c r="H626" s="800" t="s">
        <v>36</v>
      </c>
      <c r="I626" s="801" t="s">
        <v>47</v>
      </c>
      <c r="J626" s="140" t="s">
        <v>49</v>
      </c>
      <c r="K626" s="69">
        <v>3284.3</v>
      </c>
      <c r="L626" s="69">
        <f>M626-K626</f>
        <v>16.699999999999818</v>
      </c>
      <c r="M626" s="69">
        <f>3284.3+16.7</f>
        <v>3301</v>
      </c>
    </row>
    <row r="627" spans="1:13" s="52" customFormat="1" ht="54" customHeight="1" x14ac:dyDescent="0.35">
      <c r="A627" s="56"/>
      <c r="B627" s="610" t="s">
        <v>53</v>
      </c>
      <c r="C627" s="68" t="s">
        <v>334</v>
      </c>
      <c r="D627" s="55" t="s">
        <v>223</v>
      </c>
      <c r="E627" s="55" t="s">
        <v>50</v>
      </c>
      <c r="F627" s="799" t="s">
        <v>61</v>
      </c>
      <c r="G627" s="800" t="s">
        <v>29</v>
      </c>
      <c r="H627" s="800" t="s">
        <v>36</v>
      </c>
      <c r="I627" s="801" t="s">
        <v>47</v>
      </c>
      <c r="J627" s="140" t="s">
        <v>54</v>
      </c>
      <c r="K627" s="69">
        <v>277.89999999999998</v>
      </c>
      <c r="L627" s="69">
        <f>M627-K627</f>
        <v>-16.699999999999989</v>
      </c>
      <c r="M627" s="69">
        <f>277.9-16.7</f>
        <v>261.2</v>
      </c>
    </row>
    <row r="628" spans="1:13" s="52" customFormat="1" ht="18" customHeight="1" x14ac:dyDescent="0.35">
      <c r="A628" s="56"/>
      <c r="B628" s="610" t="s">
        <v>55</v>
      </c>
      <c r="C628" s="68" t="s">
        <v>334</v>
      </c>
      <c r="D628" s="55" t="s">
        <v>223</v>
      </c>
      <c r="E628" s="55" t="s">
        <v>50</v>
      </c>
      <c r="F628" s="799" t="s">
        <v>61</v>
      </c>
      <c r="G628" s="800" t="s">
        <v>29</v>
      </c>
      <c r="H628" s="800" t="s">
        <v>36</v>
      </c>
      <c r="I628" s="801" t="s">
        <v>47</v>
      </c>
      <c r="J628" s="55" t="s">
        <v>56</v>
      </c>
      <c r="K628" s="69">
        <v>8.5</v>
      </c>
      <c r="L628" s="69">
        <f>M628-K628</f>
        <v>0</v>
      </c>
      <c r="M628" s="69">
        <v>8.5</v>
      </c>
    </row>
    <row r="629" spans="1:13" s="52" customFormat="1" ht="36" customHeight="1" x14ac:dyDescent="0.35">
      <c r="A629" s="56"/>
      <c r="B629" s="642" t="s">
        <v>484</v>
      </c>
      <c r="C629" s="68" t="s">
        <v>334</v>
      </c>
      <c r="D629" s="55" t="s">
        <v>223</v>
      </c>
      <c r="E629" s="55" t="s">
        <v>50</v>
      </c>
      <c r="F629" s="799" t="s">
        <v>61</v>
      </c>
      <c r="G629" s="800" t="s">
        <v>29</v>
      </c>
      <c r="H629" s="800" t="s">
        <v>36</v>
      </c>
      <c r="I629" s="801" t="s">
        <v>89</v>
      </c>
      <c r="J629" s="55"/>
      <c r="K629" s="69">
        <f>K630+K631+K632</f>
        <v>9520.5</v>
      </c>
      <c r="L629" s="69">
        <f t="shared" ref="L629" si="210">L630+L631+L632</f>
        <v>498.69999999999982</v>
      </c>
      <c r="M629" s="69">
        <f>M630+M631+M632</f>
        <v>10019.199999999999</v>
      </c>
    </row>
    <row r="630" spans="1:13" s="52" customFormat="1" ht="108" customHeight="1" x14ac:dyDescent="0.35">
      <c r="A630" s="56"/>
      <c r="B630" s="610" t="s">
        <v>48</v>
      </c>
      <c r="C630" s="195" t="s">
        <v>334</v>
      </c>
      <c r="D630" s="140" t="s">
        <v>223</v>
      </c>
      <c r="E630" s="140" t="s">
        <v>50</v>
      </c>
      <c r="F630" s="799" t="s">
        <v>61</v>
      </c>
      <c r="G630" s="800" t="s">
        <v>29</v>
      </c>
      <c r="H630" s="800" t="s">
        <v>36</v>
      </c>
      <c r="I630" s="801" t="s">
        <v>89</v>
      </c>
      <c r="J630" s="140" t="s">
        <v>49</v>
      </c>
      <c r="K630" s="69">
        <f>7575+16.9</f>
        <v>7591.9</v>
      </c>
      <c r="L630" s="69">
        <f>M630-K630</f>
        <v>498.69999999999982</v>
      </c>
      <c r="M630" s="69">
        <f>7575+16.9+498.7</f>
        <v>8090.5999999999995</v>
      </c>
    </row>
    <row r="631" spans="1:13" s="52" customFormat="1" ht="54" customHeight="1" x14ac:dyDescent="0.35">
      <c r="A631" s="56"/>
      <c r="B631" s="610" t="s">
        <v>53</v>
      </c>
      <c r="C631" s="195" t="s">
        <v>334</v>
      </c>
      <c r="D631" s="140" t="s">
        <v>223</v>
      </c>
      <c r="E631" s="140" t="s">
        <v>50</v>
      </c>
      <c r="F631" s="799" t="s">
        <v>61</v>
      </c>
      <c r="G631" s="800" t="s">
        <v>29</v>
      </c>
      <c r="H631" s="800" t="s">
        <v>36</v>
      </c>
      <c r="I631" s="801" t="s">
        <v>89</v>
      </c>
      <c r="J631" s="140" t="s">
        <v>54</v>
      </c>
      <c r="K631" s="69">
        <f>660.2+105.8+801+360</f>
        <v>1927</v>
      </c>
      <c r="L631" s="69">
        <f>M631-K631</f>
        <v>0</v>
      </c>
      <c r="M631" s="69">
        <f>660.2+105.8+801+360</f>
        <v>1927</v>
      </c>
    </row>
    <row r="632" spans="1:13" s="52" customFormat="1" ht="18" customHeight="1" x14ac:dyDescent="0.35">
      <c r="A632" s="56"/>
      <c r="B632" s="610" t="s">
        <v>55</v>
      </c>
      <c r="C632" s="195" t="s">
        <v>334</v>
      </c>
      <c r="D632" s="140" t="s">
        <v>223</v>
      </c>
      <c r="E632" s="140" t="s">
        <v>50</v>
      </c>
      <c r="F632" s="799" t="s">
        <v>61</v>
      </c>
      <c r="G632" s="800" t="s">
        <v>29</v>
      </c>
      <c r="H632" s="800" t="s">
        <v>36</v>
      </c>
      <c r="I632" s="801" t="s">
        <v>89</v>
      </c>
      <c r="J632" s="55" t="s">
        <v>56</v>
      </c>
      <c r="K632" s="69">
        <v>1.6</v>
      </c>
      <c r="L632" s="69">
        <f>M632-K632</f>
        <v>0</v>
      </c>
      <c r="M632" s="69">
        <v>1.6</v>
      </c>
    </row>
    <row r="633" spans="1:13" s="183" customFormat="1" ht="18" customHeight="1" x14ac:dyDescent="0.35">
      <c r="A633" s="264"/>
      <c r="B633" s="680"/>
      <c r="C633" s="195"/>
      <c r="D633" s="140"/>
      <c r="E633" s="140"/>
      <c r="F633" s="799"/>
      <c r="G633" s="800"/>
      <c r="H633" s="800"/>
      <c r="I633" s="262"/>
      <c r="J633" s="263"/>
      <c r="K633" s="315"/>
      <c r="L633" s="315"/>
      <c r="M633" s="315"/>
    </row>
    <row r="634" spans="1:13" s="163" customFormat="1" ht="52.2" customHeight="1" x14ac:dyDescent="0.3">
      <c r="A634" s="162">
        <v>7</v>
      </c>
      <c r="B634" s="656" t="s">
        <v>10</v>
      </c>
      <c r="C634" s="63" t="s">
        <v>304</v>
      </c>
      <c r="D634" s="64"/>
      <c r="E634" s="64"/>
      <c r="F634" s="65"/>
      <c r="G634" s="66"/>
      <c r="H634" s="66"/>
      <c r="I634" s="67"/>
      <c r="J634" s="64"/>
      <c r="K634" s="77">
        <f>K642+K635</f>
        <v>90662.5</v>
      </c>
      <c r="L634" s="77">
        <f t="shared" ref="L634" si="211">L642+L635</f>
        <v>462.29999999999927</v>
      </c>
      <c r="M634" s="77">
        <f>M642+M635</f>
        <v>91124.799999999988</v>
      </c>
    </row>
    <row r="635" spans="1:13" s="163" customFormat="1" ht="18" customHeight="1" x14ac:dyDescent="0.35">
      <c r="A635" s="162"/>
      <c r="B635" s="607" t="s">
        <v>35</v>
      </c>
      <c r="C635" s="266" t="s">
        <v>304</v>
      </c>
      <c r="D635" s="73" t="s">
        <v>36</v>
      </c>
      <c r="E635" s="73"/>
      <c r="F635" s="258"/>
      <c r="G635" s="259"/>
      <c r="H635" s="259"/>
      <c r="I635" s="260"/>
      <c r="J635" s="73"/>
      <c r="K635" s="261">
        <f t="shared" ref="K635:M640" si="212">K636</f>
        <v>51.9</v>
      </c>
      <c r="L635" s="261">
        <f t="shared" si="212"/>
        <v>0</v>
      </c>
      <c r="M635" s="261">
        <f t="shared" si="212"/>
        <v>51.9</v>
      </c>
    </row>
    <row r="636" spans="1:13" s="163" customFormat="1" ht="18" customHeight="1" x14ac:dyDescent="0.35">
      <c r="A636" s="162"/>
      <c r="B636" s="607" t="s">
        <v>68</v>
      </c>
      <c r="C636" s="266" t="s">
        <v>304</v>
      </c>
      <c r="D636" s="73" t="s">
        <v>36</v>
      </c>
      <c r="E636" s="73" t="s">
        <v>69</v>
      </c>
      <c r="F636" s="258"/>
      <c r="G636" s="259"/>
      <c r="H636" s="259"/>
      <c r="I636" s="260"/>
      <c r="J636" s="73"/>
      <c r="K636" s="261">
        <f t="shared" si="212"/>
        <v>51.9</v>
      </c>
      <c r="L636" s="261">
        <f t="shared" si="212"/>
        <v>0</v>
      </c>
      <c r="M636" s="261">
        <f t="shared" si="212"/>
        <v>51.9</v>
      </c>
    </row>
    <row r="637" spans="1:13" s="163" customFormat="1" ht="54" customHeight="1" x14ac:dyDescent="0.35">
      <c r="A637" s="162"/>
      <c r="B637" s="610" t="s">
        <v>214</v>
      </c>
      <c r="C637" s="266" t="s">
        <v>304</v>
      </c>
      <c r="D637" s="73" t="s">
        <v>36</v>
      </c>
      <c r="E637" s="73" t="s">
        <v>69</v>
      </c>
      <c r="F637" s="258" t="s">
        <v>50</v>
      </c>
      <c r="G637" s="259" t="s">
        <v>41</v>
      </c>
      <c r="H637" s="259" t="s">
        <v>42</v>
      </c>
      <c r="I637" s="260" t="s">
        <v>43</v>
      </c>
      <c r="J637" s="73"/>
      <c r="K637" s="261">
        <f t="shared" si="212"/>
        <v>51.9</v>
      </c>
      <c r="L637" s="261">
        <f t="shared" si="212"/>
        <v>0</v>
      </c>
      <c r="M637" s="261">
        <f t="shared" si="212"/>
        <v>51.9</v>
      </c>
    </row>
    <row r="638" spans="1:13" s="163" customFormat="1" ht="36" customHeight="1" x14ac:dyDescent="0.35">
      <c r="A638" s="162"/>
      <c r="B638" s="610" t="s">
        <v>217</v>
      </c>
      <c r="C638" s="266" t="s">
        <v>304</v>
      </c>
      <c r="D638" s="73" t="s">
        <v>36</v>
      </c>
      <c r="E638" s="73" t="s">
        <v>69</v>
      </c>
      <c r="F638" s="258" t="s">
        <v>50</v>
      </c>
      <c r="G638" s="259" t="s">
        <v>87</v>
      </c>
      <c r="H638" s="259" t="s">
        <v>42</v>
      </c>
      <c r="I638" s="260" t="s">
        <v>43</v>
      </c>
      <c r="J638" s="73"/>
      <c r="K638" s="261">
        <f t="shared" si="212"/>
        <v>51.9</v>
      </c>
      <c r="L638" s="261">
        <f t="shared" si="212"/>
        <v>0</v>
      </c>
      <c r="M638" s="261">
        <f t="shared" si="212"/>
        <v>51.9</v>
      </c>
    </row>
    <row r="639" spans="1:13" s="163" customFormat="1" ht="36" customHeight="1" x14ac:dyDescent="0.35">
      <c r="A639" s="162"/>
      <c r="B639" s="607" t="s">
        <v>371</v>
      </c>
      <c r="C639" s="266" t="s">
        <v>304</v>
      </c>
      <c r="D639" s="73" t="s">
        <v>36</v>
      </c>
      <c r="E639" s="73" t="s">
        <v>69</v>
      </c>
      <c r="F639" s="258" t="s">
        <v>50</v>
      </c>
      <c r="G639" s="259" t="s">
        <v>87</v>
      </c>
      <c r="H639" s="259" t="s">
        <v>61</v>
      </c>
      <c r="I639" s="260" t="s">
        <v>43</v>
      </c>
      <c r="J639" s="73"/>
      <c r="K639" s="261">
        <f t="shared" si="212"/>
        <v>51.9</v>
      </c>
      <c r="L639" s="261">
        <f t="shared" si="212"/>
        <v>0</v>
      </c>
      <c r="M639" s="261">
        <f t="shared" si="212"/>
        <v>51.9</v>
      </c>
    </row>
    <row r="640" spans="1:13" s="163" customFormat="1" ht="54" customHeight="1" x14ac:dyDescent="0.35">
      <c r="A640" s="162"/>
      <c r="B640" s="681" t="s">
        <v>372</v>
      </c>
      <c r="C640" s="266" t="s">
        <v>304</v>
      </c>
      <c r="D640" s="73" t="s">
        <v>36</v>
      </c>
      <c r="E640" s="73" t="s">
        <v>69</v>
      </c>
      <c r="F640" s="258" t="s">
        <v>50</v>
      </c>
      <c r="G640" s="259" t="s">
        <v>87</v>
      </c>
      <c r="H640" s="259" t="s">
        <v>61</v>
      </c>
      <c r="I640" s="260" t="s">
        <v>103</v>
      </c>
      <c r="J640" s="73"/>
      <c r="K640" s="261">
        <f>K641</f>
        <v>51.9</v>
      </c>
      <c r="L640" s="261">
        <f t="shared" si="212"/>
        <v>0</v>
      </c>
      <c r="M640" s="261">
        <f>M641</f>
        <v>51.9</v>
      </c>
    </row>
    <row r="641" spans="1:14" s="163" customFormat="1" ht="54" customHeight="1" x14ac:dyDescent="0.35">
      <c r="A641" s="162"/>
      <c r="B641" s="610" t="s">
        <v>53</v>
      </c>
      <c r="C641" s="266" t="s">
        <v>304</v>
      </c>
      <c r="D641" s="73" t="s">
        <v>36</v>
      </c>
      <c r="E641" s="73" t="s">
        <v>69</v>
      </c>
      <c r="F641" s="258" t="s">
        <v>50</v>
      </c>
      <c r="G641" s="259" t="s">
        <v>87</v>
      </c>
      <c r="H641" s="259" t="s">
        <v>61</v>
      </c>
      <c r="I641" s="260" t="s">
        <v>103</v>
      </c>
      <c r="J641" s="73" t="s">
        <v>54</v>
      </c>
      <c r="K641" s="261">
        <v>51.9</v>
      </c>
      <c r="L641" s="69">
        <f>M641-K641</f>
        <v>0</v>
      </c>
      <c r="M641" s="261">
        <v>51.9</v>
      </c>
    </row>
    <row r="642" spans="1:14" s="52" customFormat="1" ht="18" customHeight="1" x14ac:dyDescent="0.35">
      <c r="A642" s="56"/>
      <c r="B642" s="659" t="s">
        <v>342</v>
      </c>
      <c r="C642" s="68" t="s">
        <v>304</v>
      </c>
      <c r="D642" s="55" t="s">
        <v>65</v>
      </c>
      <c r="E642" s="55"/>
      <c r="F642" s="799"/>
      <c r="G642" s="800"/>
      <c r="H642" s="800"/>
      <c r="I642" s="801"/>
      <c r="J642" s="55"/>
      <c r="K642" s="69">
        <f>K643+K653+K683+K665</f>
        <v>90610.6</v>
      </c>
      <c r="L642" s="69">
        <f t="shared" ref="L642" si="213">L643+L653+L683+L665</f>
        <v>462.29999999999927</v>
      </c>
      <c r="M642" s="69">
        <f>M643+M653+M683+M665</f>
        <v>91072.9</v>
      </c>
    </row>
    <row r="643" spans="1:14" s="163" customFormat="1" ht="18" customHeight="1" x14ac:dyDescent="0.35">
      <c r="A643" s="56"/>
      <c r="B643" s="659" t="s">
        <v>380</v>
      </c>
      <c r="C643" s="68" t="s">
        <v>304</v>
      </c>
      <c r="D643" s="55" t="s">
        <v>65</v>
      </c>
      <c r="E643" s="55" t="s">
        <v>36</v>
      </c>
      <c r="F643" s="799"/>
      <c r="G643" s="800"/>
      <c r="H643" s="800"/>
      <c r="I643" s="801"/>
      <c r="J643" s="55"/>
      <c r="K643" s="69">
        <f>K644</f>
        <v>4755</v>
      </c>
      <c r="L643" s="69">
        <f t="shared" ref="L643:L645" si="214">L644</f>
        <v>0</v>
      </c>
      <c r="M643" s="69">
        <f>M644</f>
        <v>4755</v>
      </c>
    </row>
    <row r="644" spans="1:14" s="163" customFormat="1" ht="54" customHeight="1" x14ac:dyDescent="0.35">
      <c r="A644" s="56"/>
      <c r="B644" s="610" t="s">
        <v>214</v>
      </c>
      <c r="C644" s="68" t="s">
        <v>304</v>
      </c>
      <c r="D644" s="55" t="s">
        <v>65</v>
      </c>
      <c r="E644" s="55" t="s">
        <v>36</v>
      </c>
      <c r="F644" s="799" t="s">
        <v>50</v>
      </c>
      <c r="G644" s="800" t="s">
        <v>41</v>
      </c>
      <c r="H644" s="800" t="s">
        <v>42</v>
      </c>
      <c r="I644" s="801" t="s">
        <v>43</v>
      </c>
      <c r="J644" s="55"/>
      <c r="K644" s="69">
        <f>K645</f>
        <v>4755</v>
      </c>
      <c r="L644" s="69">
        <f t="shared" si="214"/>
        <v>0</v>
      </c>
      <c r="M644" s="69">
        <f>M645</f>
        <v>4755</v>
      </c>
    </row>
    <row r="645" spans="1:14" s="52" customFormat="1" ht="36" customHeight="1" x14ac:dyDescent="0.35">
      <c r="A645" s="56"/>
      <c r="B645" s="610" t="s">
        <v>217</v>
      </c>
      <c r="C645" s="68" t="s">
        <v>304</v>
      </c>
      <c r="D645" s="55" t="s">
        <v>65</v>
      </c>
      <c r="E645" s="55" t="s">
        <v>36</v>
      </c>
      <c r="F645" s="799" t="s">
        <v>50</v>
      </c>
      <c r="G645" s="800" t="s">
        <v>87</v>
      </c>
      <c r="H645" s="800" t="s">
        <v>42</v>
      </c>
      <c r="I645" s="801" t="s">
        <v>43</v>
      </c>
      <c r="J645" s="55"/>
      <c r="K645" s="69">
        <f>K646</f>
        <v>4755</v>
      </c>
      <c r="L645" s="69">
        <f t="shared" si="214"/>
        <v>0</v>
      </c>
      <c r="M645" s="69">
        <f>M646</f>
        <v>4755</v>
      </c>
    </row>
    <row r="646" spans="1:14" s="163" customFormat="1" ht="36" customHeight="1" x14ac:dyDescent="0.35">
      <c r="A646" s="56"/>
      <c r="B646" s="610" t="s">
        <v>569</v>
      </c>
      <c r="C646" s="68" t="s">
        <v>304</v>
      </c>
      <c r="D646" s="55" t="s">
        <v>65</v>
      </c>
      <c r="E646" s="55" t="s">
        <v>36</v>
      </c>
      <c r="F646" s="799" t="s">
        <v>50</v>
      </c>
      <c r="G646" s="800" t="s">
        <v>87</v>
      </c>
      <c r="H646" s="800" t="s">
        <v>50</v>
      </c>
      <c r="I646" s="801" t="s">
        <v>43</v>
      </c>
      <c r="J646" s="55"/>
      <c r="K646" s="69">
        <f>K647+K651</f>
        <v>4755</v>
      </c>
      <c r="L646" s="69">
        <f t="shared" ref="L646" si="215">L647+L651</f>
        <v>0</v>
      </c>
      <c r="M646" s="69">
        <f>M647+M651</f>
        <v>4755</v>
      </c>
    </row>
    <row r="647" spans="1:14" s="163" customFormat="1" ht="36" customHeight="1" x14ac:dyDescent="0.35">
      <c r="A647" s="56"/>
      <c r="B647" s="610" t="s">
        <v>484</v>
      </c>
      <c r="C647" s="68" t="s">
        <v>304</v>
      </c>
      <c r="D647" s="55" t="s">
        <v>65</v>
      </c>
      <c r="E647" s="55" t="s">
        <v>36</v>
      </c>
      <c r="F647" s="799" t="s">
        <v>50</v>
      </c>
      <c r="G647" s="800" t="s">
        <v>87</v>
      </c>
      <c r="H647" s="800" t="s">
        <v>50</v>
      </c>
      <c r="I647" s="801" t="s">
        <v>89</v>
      </c>
      <c r="J647" s="55"/>
      <c r="K647" s="69">
        <f>K648+K649+K650</f>
        <v>3753.6000000000004</v>
      </c>
      <c r="L647" s="69">
        <f t="shared" ref="L647" si="216">L648+L649+L650</f>
        <v>0</v>
      </c>
      <c r="M647" s="69">
        <f>M648+M649+M650</f>
        <v>3753.6000000000004</v>
      </c>
    </row>
    <row r="648" spans="1:14" s="163" customFormat="1" ht="108" customHeight="1" x14ac:dyDescent="0.35">
      <c r="A648" s="56"/>
      <c r="B648" s="610" t="s">
        <v>48</v>
      </c>
      <c r="C648" s="68" t="s">
        <v>304</v>
      </c>
      <c r="D648" s="55" t="s">
        <v>65</v>
      </c>
      <c r="E648" s="55" t="s">
        <v>36</v>
      </c>
      <c r="F648" s="799" t="s">
        <v>50</v>
      </c>
      <c r="G648" s="800" t="s">
        <v>87</v>
      </c>
      <c r="H648" s="800" t="s">
        <v>50</v>
      </c>
      <c r="I648" s="801" t="s">
        <v>89</v>
      </c>
      <c r="J648" s="55" t="s">
        <v>49</v>
      </c>
      <c r="K648" s="69">
        <v>2270.4</v>
      </c>
      <c r="L648" s="69">
        <f>M648-K648</f>
        <v>0</v>
      </c>
      <c r="M648" s="69">
        <v>2270.4</v>
      </c>
    </row>
    <row r="649" spans="1:14" s="163" customFormat="1" ht="54" customHeight="1" x14ac:dyDescent="0.35">
      <c r="A649" s="56"/>
      <c r="B649" s="610" t="s">
        <v>53</v>
      </c>
      <c r="C649" s="68" t="s">
        <v>304</v>
      </c>
      <c r="D649" s="55" t="s">
        <v>65</v>
      </c>
      <c r="E649" s="55" t="s">
        <v>36</v>
      </c>
      <c r="F649" s="799" t="s">
        <v>50</v>
      </c>
      <c r="G649" s="800" t="s">
        <v>87</v>
      </c>
      <c r="H649" s="800" t="s">
        <v>50</v>
      </c>
      <c r="I649" s="801" t="s">
        <v>89</v>
      </c>
      <c r="J649" s="55" t="s">
        <v>54</v>
      </c>
      <c r="K649" s="69">
        <v>1463.4</v>
      </c>
      <c r="L649" s="69">
        <f>M649-K649</f>
        <v>0</v>
      </c>
      <c r="M649" s="69">
        <v>1463.4</v>
      </c>
    </row>
    <row r="650" spans="1:14" s="163" customFormat="1" ht="18" customHeight="1" x14ac:dyDescent="0.35">
      <c r="A650" s="56"/>
      <c r="B650" s="610" t="s">
        <v>55</v>
      </c>
      <c r="C650" s="68" t="s">
        <v>304</v>
      </c>
      <c r="D650" s="55" t="s">
        <v>65</v>
      </c>
      <c r="E650" s="55" t="s">
        <v>36</v>
      </c>
      <c r="F650" s="799" t="s">
        <v>50</v>
      </c>
      <c r="G650" s="800" t="s">
        <v>87</v>
      </c>
      <c r="H650" s="800" t="s">
        <v>50</v>
      </c>
      <c r="I650" s="801" t="s">
        <v>89</v>
      </c>
      <c r="J650" s="55" t="s">
        <v>56</v>
      </c>
      <c r="K650" s="69">
        <f>7.9+11.9</f>
        <v>19.8</v>
      </c>
      <c r="L650" s="69">
        <f>M650-K650</f>
        <v>0</v>
      </c>
      <c r="M650" s="69">
        <f>7.9+11.9</f>
        <v>19.8</v>
      </c>
    </row>
    <row r="651" spans="1:14" s="163" customFormat="1" ht="54" customHeight="1" x14ac:dyDescent="0.35">
      <c r="A651" s="56"/>
      <c r="B651" s="610" t="s">
        <v>216</v>
      </c>
      <c r="C651" s="68" t="s">
        <v>304</v>
      </c>
      <c r="D651" s="55" t="s">
        <v>65</v>
      </c>
      <c r="E651" s="55" t="s">
        <v>36</v>
      </c>
      <c r="F651" s="799" t="s">
        <v>50</v>
      </c>
      <c r="G651" s="800" t="s">
        <v>87</v>
      </c>
      <c r="H651" s="800" t="s">
        <v>50</v>
      </c>
      <c r="I651" s="801" t="s">
        <v>306</v>
      </c>
      <c r="J651" s="55"/>
      <c r="K651" s="69">
        <f>K652</f>
        <v>1001.4</v>
      </c>
      <c r="L651" s="69">
        <f t="shared" ref="L651" si="217">L652</f>
        <v>0</v>
      </c>
      <c r="M651" s="69">
        <f>M652</f>
        <v>1001.4</v>
      </c>
    </row>
    <row r="652" spans="1:14" s="163" customFormat="1" ht="54" customHeight="1" x14ac:dyDescent="0.35">
      <c r="A652" s="56"/>
      <c r="B652" s="610" t="s">
        <v>53</v>
      </c>
      <c r="C652" s="68" t="s">
        <v>304</v>
      </c>
      <c r="D652" s="55" t="s">
        <v>65</v>
      </c>
      <c r="E652" s="55" t="s">
        <v>36</v>
      </c>
      <c r="F652" s="799" t="s">
        <v>50</v>
      </c>
      <c r="G652" s="800" t="s">
        <v>87</v>
      </c>
      <c r="H652" s="800" t="s">
        <v>50</v>
      </c>
      <c r="I652" s="801" t="s">
        <v>306</v>
      </c>
      <c r="J652" s="55" t="s">
        <v>54</v>
      </c>
      <c r="K652" s="69">
        <v>1001.4</v>
      </c>
      <c r="L652" s="69">
        <f>M652-K652</f>
        <v>0</v>
      </c>
      <c r="M652" s="69">
        <v>1001.4</v>
      </c>
    </row>
    <row r="653" spans="1:14" s="52" customFormat="1" ht="18" customHeight="1" x14ac:dyDescent="0.35">
      <c r="A653" s="56"/>
      <c r="B653" s="659" t="s">
        <v>307</v>
      </c>
      <c r="C653" s="68" t="s">
        <v>304</v>
      </c>
      <c r="D653" s="55" t="s">
        <v>65</v>
      </c>
      <c r="E653" s="55" t="s">
        <v>38</v>
      </c>
      <c r="F653" s="799"/>
      <c r="G653" s="800"/>
      <c r="H653" s="800"/>
      <c r="I653" s="801"/>
      <c r="J653" s="55"/>
      <c r="K653" s="69">
        <f t="shared" ref="K653:M653" si="218">K654</f>
        <v>31407.3</v>
      </c>
      <c r="L653" s="69">
        <f t="shared" si="218"/>
        <v>0</v>
      </c>
      <c r="M653" s="69">
        <f t="shared" si="218"/>
        <v>31407.3</v>
      </c>
      <c r="N653" s="204"/>
    </row>
    <row r="654" spans="1:14" s="52" customFormat="1" ht="54" customHeight="1" x14ac:dyDescent="0.35">
      <c r="A654" s="56"/>
      <c r="B654" s="610" t="s">
        <v>214</v>
      </c>
      <c r="C654" s="68" t="s">
        <v>304</v>
      </c>
      <c r="D654" s="55" t="s">
        <v>65</v>
      </c>
      <c r="E654" s="55" t="s">
        <v>38</v>
      </c>
      <c r="F654" s="799" t="s">
        <v>50</v>
      </c>
      <c r="G654" s="800" t="s">
        <v>41</v>
      </c>
      <c r="H654" s="800" t="s">
        <v>42</v>
      </c>
      <c r="I654" s="801" t="s">
        <v>43</v>
      </c>
      <c r="J654" s="55"/>
      <c r="K654" s="69">
        <f>K655+K659</f>
        <v>31407.3</v>
      </c>
      <c r="L654" s="69">
        <f t="shared" ref="L654" si="219">L655+L659</f>
        <v>0</v>
      </c>
      <c r="M654" s="69">
        <f>M655+M659</f>
        <v>31407.3</v>
      </c>
    </row>
    <row r="655" spans="1:14" s="52" customFormat="1" ht="36" customHeight="1" x14ac:dyDescent="0.35">
      <c r="A655" s="56"/>
      <c r="B655" s="659" t="s">
        <v>215</v>
      </c>
      <c r="C655" s="68" t="s">
        <v>304</v>
      </c>
      <c r="D655" s="55" t="s">
        <v>65</v>
      </c>
      <c r="E655" s="55" t="s">
        <v>38</v>
      </c>
      <c r="F655" s="799" t="s">
        <v>50</v>
      </c>
      <c r="G655" s="800" t="s">
        <v>44</v>
      </c>
      <c r="H655" s="800" t="s">
        <v>42</v>
      </c>
      <c r="I655" s="801" t="s">
        <v>43</v>
      </c>
      <c r="J655" s="55"/>
      <c r="K655" s="69">
        <f>K656</f>
        <v>910.6</v>
      </c>
      <c r="L655" s="69">
        <f t="shared" ref="L655" si="220">L656</f>
        <v>0</v>
      </c>
      <c r="M655" s="69">
        <f>M656</f>
        <v>910.6</v>
      </c>
      <c r="N655" s="204"/>
    </row>
    <row r="656" spans="1:14" s="52" customFormat="1" ht="54" customHeight="1" x14ac:dyDescent="0.35">
      <c r="A656" s="56"/>
      <c r="B656" s="610" t="s">
        <v>305</v>
      </c>
      <c r="C656" s="68" t="s">
        <v>304</v>
      </c>
      <c r="D656" s="55" t="s">
        <v>65</v>
      </c>
      <c r="E656" s="55" t="s">
        <v>38</v>
      </c>
      <c r="F656" s="799" t="s">
        <v>50</v>
      </c>
      <c r="G656" s="800" t="s">
        <v>44</v>
      </c>
      <c r="H656" s="800" t="s">
        <v>38</v>
      </c>
      <c r="I656" s="801" t="s">
        <v>43</v>
      </c>
      <c r="J656" s="55"/>
      <c r="K656" s="69">
        <f t="shared" ref="K656:M656" si="221">K657</f>
        <v>910.6</v>
      </c>
      <c r="L656" s="69">
        <f t="shared" si="221"/>
        <v>0</v>
      </c>
      <c r="M656" s="69">
        <f t="shared" si="221"/>
        <v>910.6</v>
      </c>
      <c r="N656" s="204"/>
    </row>
    <row r="657" spans="1:14" s="52" customFormat="1" ht="54" customHeight="1" x14ac:dyDescent="0.35">
      <c r="A657" s="56"/>
      <c r="B657" s="610" t="s">
        <v>216</v>
      </c>
      <c r="C657" s="68" t="s">
        <v>304</v>
      </c>
      <c r="D657" s="55" t="s">
        <v>65</v>
      </c>
      <c r="E657" s="55" t="s">
        <v>38</v>
      </c>
      <c r="F657" s="799" t="s">
        <v>50</v>
      </c>
      <c r="G657" s="800" t="s">
        <v>44</v>
      </c>
      <c r="H657" s="800" t="s">
        <v>38</v>
      </c>
      <c r="I657" s="801" t="s">
        <v>306</v>
      </c>
      <c r="J657" s="55"/>
      <c r="K657" s="69">
        <f>SUM(K658:K658)</f>
        <v>910.6</v>
      </c>
      <c r="L657" s="69">
        <f t="shared" ref="L657" si="222">SUM(L658:L658)</f>
        <v>0</v>
      </c>
      <c r="M657" s="69">
        <f>SUM(M658:M658)</f>
        <v>910.6</v>
      </c>
    </row>
    <row r="658" spans="1:14" s="52" customFormat="1" ht="54" customHeight="1" x14ac:dyDescent="0.35">
      <c r="A658" s="56"/>
      <c r="B658" s="610" t="s">
        <v>53</v>
      </c>
      <c r="C658" s="68" t="s">
        <v>304</v>
      </c>
      <c r="D658" s="55" t="s">
        <v>65</v>
      </c>
      <c r="E658" s="55" t="s">
        <v>38</v>
      </c>
      <c r="F658" s="799" t="s">
        <v>50</v>
      </c>
      <c r="G658" s="800" t="s">
        <v>44</v>
      </c>
      <c r="H658" s="800" t="s">
        <v>38</v>
      </c>
      <c r="I658" s="801" t="s">
        <v>306</v>
      </c>
      <c r="J658" s="55" t="s">
        <v>54</v>
      </c>
      <c r="K658" s="69">
        <f>910.6</f>
        <v>910.6</v>
      </c>
      <c r="L658" s="69">
        <f>M658-K658</f>
        <v>0</v>
      </c>
      <c r="M658" s="69">
        <f>910.6</f>
        <v>910.6</v>
      </c>
      <c r="N658" s="204"/>
    </row>
    <row r="659" spans="1:14" s="52" customFormat="1" ht="36" x14ac:dyDescent="0.35">
      <c r="A659" s="56"/>
      <c r="B659" s="610" t="s">
        <v>217</v>
      </c>
      <c r="C659" s="68" t="s">
        <v>304</v>
      </c>
      <c r="D659" s="55" t="s">
        <v>65</v>
      </c>
      <c r="E659" s="55" t="s">
        <v>38</v>
      </c>
      <c r="F659" s="799" t="s">
        <v>50</v>
      </c>
      <c r="G659" s="800" t="s">
        <v>87</v>
      </c>
      <c r="H659" s="800" t="s">
        <v>42</v>
      </c>
      <c r="I659" s="801" t="s">
        <v>43</v>
      </c>
      <c r="J659" s="55"/>
      <c r="K659" s="69">
        <f t="shared" ref="K659:M663" si="223">K660</f>
        <v>30496.7</v>
      </c>
      <c r="L659" s="69">
        <f t="shared" si="223"/>
        <v>0</v>
      </c>
      <c r="M659" s="69">
        <f t="shared" si="223"/>
        <v>30496.7</v>
      </c>
      <c r="N659" s="204"/>
    </row>
    <row r="660" spans="1:14" s="52" customFormat="1" ht="42" customHeight="1" x14ac:dyDescent="0.35">
      <c r="A660" s="56"/>
      <c r="B660" s="610" t="s">
        <v>381</v>
      </c>
      <c r="C660" s="68" t="s">
        <v>304</v>
      </c>
      <c r="D660" s="55" t="s">
        <v>65</v>
      </c>
      <c r="E660" s="55" t="s">
        <v>38</v>
      </c>
      <c r="F660" s="799" t="s">
        <v>50</v>
      </c>
      <c r="G660" s="800" t="s">
        <v>87</v>
      </c>
      <c r="H660" s="800" t="s">
        <v>38</v>
      </c>
      <c r="I660" s="801" t="s">
        <v>43</v>
      </c>
      <c r="J660" s="55"/>
      <c r="K660" s="69">
        <f>K661+K663</f>
        <v>30496.7</v>
      </c>
      <c r="L660" s="69">
        <f>L661+L663</f>
        <v>0</v>
      </c>
      <c r="M660" s="69">
        <f>M661+M663</f>
        <v>30496.7</v>
      </c>
      <c r="N660" s="204"/>
    </row>
    <row r="661" spans="1:14" s="52" customFormat="1" ht="54" x14ac:dyDescent="0.35">
      <c r="A661" s="56"/>
      <c r="B661" s="610" t="s">
        <v>216</v>
      </c>
      <c r="C661" s="68" t="s">
        <v>304</v>
      </c>
      <c r="D661" s="55" t="s">
        <v>65</v>
      </c>
      <c r="E661" s="55" t="s">
        <v>38</v>
      </c>
      <c r="F661" s="799" t="s">
        <v>50</v>
      </c>
      <c r="G661" s="800" t="s">
        <v>87</v>
      </c>
      <c r="H661" s="800" t="s">
        <v>38</v>
      </c>
      <c r="I661" s="801" t="s">
        <v>306</v>
      </c>
      <c r="J661" s="55"/>
      <c r="K661" s="69">
        <f>K662</f>
        <v>645.20000000000005</v>
      </c>
      <c r="L661" s="69">
        <f>L662</f>
        <v>0</v>
      </c>
      <c r="M661" s="69">
        <f>M662</f>
        <v>645.20000000000005</v>
      </c>
      <c r="N661" s="204"/>
    </row>
    <row r="662" spans="1:14" s="52" customFormat="1" ht="54" x14ac:dyDescent="0.35">
      <c r="A662" s="56"/>
      <c r="B662" s="610" t="s">
        <v>53</v>
      </c>
      <c r="C662" s="68" t="s">
        <v>304</v>
      </c>
      <c r="D662" s="55" t="s">
        <v>65</v>
      </c>
      <c r="E662" s="55" t="s">
        <v>38</v>
      </c>
      <c r="F662" s="799" t="s">
        <v>50</v>
      </c>
      <c r="G662" s="800" t="s">
        <v>87</v>
      </c>
      <c r="H662" s="800" t="s">
        <v>38</v>
      </c>
      <c r="I662" s="801" t="s">
        <v>306</v>
      </c>
      <c r="J662" s="55" t="s">
        <v>54</v>
      </c>
      <c r="K662" s="69">
        <v>645.20000000000005</v>
      </c>
      <c r="L662" s="69">
        <f>M662-K662</f>
        <v>0</v>
      </c>
      <c r="M662" s="69">
        <v>645.20000000000005</v>
      </c>
      <c r="N662" s="204"/>
    </row>
    <row r="663" spans="1:14" s="52" customFormat="1" ht="90" x14ac:dyDescent="0.35">
      <c r="A663" s="56"/>
      <c r="B663" s="610" t="s">
        <v>618</v>
      </c>
      <c r="C663" s="68" t="s">
        <v>304</v>
      </c>
      <c r="D663" s="55" t="s">
        <v>65</v>
      </c>
      <c r="E663" s="55" t="s">
        <v>38</v>
      </c>
      <c r="F663" s="799" t="s">
        <v>50</v>
      </c>
      <c r="G663" s="800" t="s">
        <v>87</v>
      </c>
      <c r="H663" s="800" t="s">
        <v>38</v>
      </c>
      <c r="I663" s="801" t="s">
        <v>617</v>
      </c>
      <c r="J663" s="55"/>
      <c r="K663" s="69">
        <f t="shared" si="223"/>
        <v>29851.5</v>
      </c>
      <c r="L663" s="69">
        <f t="shared" si="223"/>
        <v>0</v>
      </c>
      <c r="M663" s="69">
        <f t="shared" si="223"/>
        <v>29851.5</v>
      </c>
      <c r="N663" s="204"/>
    </row>
    <row r="664" spans="1:14" s="52" customFormat="1" ht="54" customHeight="1" x14ac:dyDescent="0.35">
      <c r="A664" s="56"/>
      <c r="B664" s="610" t="s">
        <v>53</v>
      </c>
      <c r="C664" s="68" t="s">
        <v>304</v>
      </c>
      <c r="D664" s="55" t="s">
        <v>65</v>
      </c>
      <c r="E664" s="55" t="s">
        <v>38</v>
      </c>
      <c r="F664" s="799" t="s">
        <v>50</v>
      </c>
      <c r="G664" s="800" t="s">
        <v>87</v>
      </c>
      <c r="H664" s="800" t="s">
        <v>38</v>
      </c>
      <c r="I664" s="801" t="s">
        <v>617</v>
      </c>
      <c r="J664" s="55" t="s">
        <v>54</v>
      </c>
      <c r="K664" s="69">
        <f>26866.2+2985.3</f>
        <v>29851.5</v>
      </c>
      <c r="L664" s="69">
        <f>M664-K664</f>
        <v>0</v>
      </c>
      <c r="M664" s="69">
        <f>26866.2+2985.3</f>
        <v>29851.5</v>
      </c>
      <c r="N664" s="204"/>
    </row>
    <row r="665" spans="1:14" s="52" customFormat="1" ht="18" x14ac:dyDescent="0.35">
      <c r="A665" s="56"/>
      <c r="B665" s="610" t="s">
        <v>611</v>
      </c>
      <c r="C665" s="68" t="s">
        <v>304</v>
      </c>
      <c r="D665" s="55" t="s">
        <v>65</v>
      </c>
      <c r="E665" s="55" t="s">
        <v>61</v>
      </c>
      <c r="F665" s="799"/>
      <c r="G665" s="800"/>
      <c r="H665" s="800"/>
      <c r="I665" s="801"/>
      <c r="J665" s="55"/>
      <c r="K665" s="69">
        <f>K666</f>
        <v>51359.6</v>
      </c>
      <c r="L665" s="69">
        <f t="shared" ref="L665" si="224">L666</f>
        <v>462.29999999999927</v>
      </c>
      <c r="M665" s="69">
        <f>M666</f>
        <v>51821.9</v>
      </c>
      <c r="N665" s="204"/>
    </row>
    <row r="666" spans="1:14" s="52" customFormat="1" ht="54" x14ac:dyDescent="0.35">
      <c r="A666" s="56"/>
      <c r="B666" s="610" t="s">
        <v>214</v>
      </c>
      <c r="C666" s="68" t="s">
        <v>304</v>
      </c>
      <c r="D666" s="55" t="s">
        <v>65</v>
      </c>
      <c r="E666" s="55" t="s">
        <v>61</v>
      </c>
      <c r="F666" s="799" t="s">
        <v>50</v>
      </c>
      <c r="G666" s="800" t="s">
        <v>41</v>
      </c>
      <c r="H666" s="800" t="s">
        <v>42</v>
      </c>
      <c r="I666" s="801" t="s">
        <v>43</v>
      </c>
      <c r="J666" s="55"/>
      <c r="K666" s="69">
        <f>K667+K671</f>
        <v>51359.6</v>
      </c>
      <c r="L666" s="69">
        <f t="shared" ref="L666" si="225">L667+L671</f>
        <v>462.29999999999927</v>
      </c>
      <c r="M666" s="69">
        <f>M667+M671</f>
        <v>51821.9</v>
      </c>
      <c r="N666" s="204"/>
    </row>
    <row r="667" spans="1:14" s="52" customFormat="1" ht="36" x14ac:dyDescent="0.35">
      <c r="A667" s="56"/>
      <c r="B667" s="659" t="s">
        <v>215</v>
      </c>
      <c r="C667" s="68" t="s">
        <v>304</v>
      </c>
      <c r="D667" s="55" t="s">
        <v>65</v>
      </c>
      <c r="E667" s="55" t="s">
        <v>61</v>
      </c>
      <c r="F667" s="799" t="s">
        <v>50</v>
      </c>
      <c r="G667" s="800" t="s">
        <v>44</v>
      </c>
      <c r="H667" s="800" t="s">
        <v>42</v>
      </c>
      <c r="I667" s="801" t="s">
        <v>43</v>
      </c>
      <c r="J667" s="55"/>
      <c r="K667" s="69">
        <f>K668</f>
        <v>396</v>
      </c>
      <c r="L667" s="69">
        <f t="shared" ref="L667" si="226">L668</f>
        <v>0</v>
      </c>
      <c r="M667" s="69">
        <f>M668</f>
        <v>396</v>
      </c>
      <c r="N667" s="204"/>
    </row>
    <row r="668" spans="1:14" s="52" customFormat="1" ht="18" x14ac:dyDescent="0.35">
      <c r="A668" s="56"/>
      <c r="B668" s="610" t="s">
        <v>291</v>
      </c>
      <c r="C668" s="68" t="s">
        <v>304</v>
      </c>
      <c r="D668" s="55" t="s">
        <v>65</v>
      </c>
      <c r="E668" s="55" t="s">
        <v>61</v>
      </c>
      <c r="F668" s="799" t="s">
        <v>50</v>
      </c>
      <c r="G668" s="800" t="s">
        <v>44</v>
      </c>
      <c r="H668" s="800" t="s">
        <v>36</v>
      </c>
      <c r="I668" s="801" t="s">
        <v>43</v>
      </c>
      <c r="J668" s="55"/>
      <c r="K668" s="69">
        <f t="shared" ref="K668:M669" si="227">K669</f>
        <v>396</v>
      </c>
      <c r="L668" s="69">
        <f t="shared" si="227"/>
        <v>0</v>
      </c>
      <c r="M668" s="69">
        <f t="shared" si="227"/>
        <v>396</v>
      </c>
      <c r="N668" s="204"/>
    </row>
    <row r="669" spans="1:14" s="52" customFormat="1" ht="36" x14ac:dyDescent="0.35">
      <c r="A669" s="56"/>
      <c r="B669" s="610" t="s">
        <v>292</v>
      </c>
      <c r="C669" s="68" t="s">
        <v>304</v>
      </c>
      <c r="D669" s="55" t="s">
        <v>65</v>
      </c>
      <c r="E669" s="55" t="s">
        <v>61</v>
      </c>
      <c r="F669" s="799" t="s">
        <v>50</v>
      </c>
      <c r="G669" s="800" t="s">
        <v>44</v>
      </c>
      <c r="H669" s="800" t="s">
        <v>36</v>
      </c>
      <c r="I669" s="801" t="s">
        <v>293</v>
      </c>
      <c r="J669" s="55"/>
      <c r="K669" s="69">
        <f t="shared" si="227"/>
        <v>396</v>
      </c>
      <c r="L669" s="69">
        <f t="shared" si="227"/>
        <v>0</v>
      </c>
      <c r="M669" s="69">
        <f t="shared" si="227"/>
        <v>396</v>
      </c>
      <c r="N669" s="204"/>
    </row>
    <row r="670" spans="1:14" s="52" customFormat="1" ht="36" x14ac:dyDescent="0.35">
      <c r="A670" s="56"/>
      <c r="B670" s="610" t="s">
        <v>118</v>
      </c>
      <c r="C670" s="68" t="s">
        <v>304</v>
      </c>
      <c r="D670" s="55" t="s">
        <v>65</v>
      </c>
      <c r="E670" s="55" t="s">
        <v>61</v>
      </c>
      <c r="F670" s="799" t="s">
        <v>50</v>
      </c>
      <c r="G670" s="800" t="s">
        <v>44</v>
      </c>
      <c r="H670" s="800" t="s">
        <v>36</v>
      </c>
      <c r="I670" s="801" t="s">
        <v>293</v>
      </c>
      <c r="J670" s="55" t="s">
        <v>119</v>
      </c>
      <c r="K670" s="69">
        <v>396</v>
      </c>
      <c r="L670" s="69">
        <f>M670-K670</f>
        <v>0</v>
      </c>
      <c r="M670" s="69">
        <v>396</v>
      </c>
      <c r="N670" s="204"/>
    </row>
    <row r="671" spans="1:14" s="52" customFormat="1" ht="36" x14ac:dyDescent="0.35">
      <c r="A671" s="56"/>
      <c r="B671" s="610" t="s">
        <v>217</v>
      </c>
      <c r="C671" s="68" t="s">
        <v>304</v>
      </c>
      <c r="D671" s="55" t="s">
        <v>65</v>
      </c>
      <c r="E671" s="55" t="s">
        <v>61</v>
      </c>
      <c r="F671" s="799" t="s">
        <v>50</v>
      </c>
      <c r="G671" s="800" t="s">
        <v>87</v>
      </c>
      <c r="H671" s="800" t="s">
        <v>42</v>
      </c>
      <c r="I671" s="801" t="s">
        <v>43</v>
      </c>
      <c r="J671" s="55"/>
      <c r="K671" s="69">
        <f>K672</f>
        <v>50963.6</v>
      </c>
      <c r="L671" s="69">
        <f t="shared" ref="L671" si="228">L672</f>
        <v>462.29999999999927</v>
      </c>
      <c r="M671" s="69">
        <f>M672</f>
        <v>51425.9</v>
      </c>
      <c r="N671" s="204"/>
    </row>
    <row r="672" spans="1:14" s="52" customFormat="1" ht="18" x14ac:dyDescent="0.35">
      <c r="A672" s="56"/>
      <c r="B672" s="610" t="s">
        <v>381</v>
      </c>
      <c r="C672" s="68" t="s">
        <v>304</v>
      </c>
      <c r="D672" s="55" t="s">
        <v>65</v>
      </c>
      <c r="E672" s="55" t="s">
        <v>61</v>
      </c>
      <c r="F672" s="799" t="s">
        <v>50</v>
      </c>
      <c r="G672" s="800" t="s">
        <v>87</v>
      </c>
      <c r="H672" s="800" t="s">
        <v>38</v>
      </c>
      <c r="I672" s="801" t="s">
        <v>43</v>
      </c>
      <c r="J672" s="55"/>
      <c r="K672" s="69">
        <f>K673+K681+K677+K679</f>
        <v>50963.6</v>
      </c>
      <c r="L672" s="69">
        <f t="shared" ref="L672" si="229">L673+L681+L677+L679</f>
        <v>462.29999999999927</v>
      </c>
      <c r="M672" s="69">
        <f>M673+M681+M677+M679</f>
        <v>51425.9</v>
      </c>
      <c r="N672" s="204"/>
    </row>
    <row r="673" spans="1:14" s="52" customFormat="1" ht="36" x14ac:dyDescent="0.35">
      <c r="A673" s="56"/>
      <c r="B673" s="642" t="s">
        <v>484</v>
      </c>
      <c r="C673" s="68" t="s">
        <v>304</v>
      </c>
      <c r="D673" s="55" t="s">
        <v>65</v>
      </c>
      <c r="E673" s="55" t="s">
        <v>61</v>
      </c>
      <c r="F673" s="799" t="s">
        <v>50</v>
      </c>
      <c r="G673" s="800" t="s">
        <v>87</v>
      </c>
      <c r="H673" s="800" t="s">
        <v>38</v>
      </c>
      <c r="I673" s="801" t="s">
        <v>89</v>
      </c>
      <c r="J673" s="55"/>
      <c r="K673" s="69">
        <f>K674+K675+K676</f>
        <v>41429.999999999993</v>
      </c>
      <c r="L673" s="69">
        <f t="shared" ref="L673" si="230">L674+L675+L676</f>
        <v>462.29999999999927</v>
      </c>
      <c r="M673" s="69">
        <f>M674+M675+M676</f>
        <v>41892.299999999996</v>
      </c>
      <c r="N673" s="204"/>
    </row>
    <row r="674" spans="1:14" s="52" customFormat="1" ht="108" x14ac:dyDescent="0.35">
      <c r="A674" s="56"/>
      <c r="B674" s="610" t="s">
        <v>48</v>
      </c>
      <c r="C674" s="68" t="s">
        <v>304</v>
      </c>
      <c r="D674" s="55" t="s">
        <v>65</v>
      </c>
      <c r="E674" s="55" t="s">
        <v>61</v>
      </c>
      <c r="F674" s="799" t="s">
        <v>50</v>
      </c>
      <c r="G674" s="800" t="s">
        <v>87</v>
      </c>
      <c r="H674" s="800" t="s">
        <v>38</v>
      </c>
      <c r="I674" s="801" t="s">
        <v>89</v>
      </c>
      <c r="J674" s="55" t="s">
        <v>49</v>
      </c>
      <c r="K674" s="69">
        <f>26739.6</f>
        <v>26739.599999999999</v>
      </c>
      <c r="L674" s="69">
        <f>M674-K674</f>
        <v>462.29999999999927</v>
      </c>
      <c r="M674" s="69">
        <f>26739.6+462.3</f>
        <v>27201.899999999998</v>
      </c>
      <c r="N674" s="204"/>
    </row>
    <row r="675" spans="1:14" s="52" customFormat="1" ht="54" x14ac:dyDescent="0.35">
      <c r="A675" s="56"/>
      <c r="B675" s="610" t="s">
        <v>53</v>
      </c>
      <c r="C675" s="68" t="s">
        <v>304</v>
      </c>
      <c r="D675" s="55" t="s">
        <v>65</v>
      </c>
      <c r="E675" s="55" t="s">
        <v>61</v>
      </c>
      <c r="F675" s="799" t="s">
        <v>50</v>
      </c>
      <c r="G675" s="800" t="s">
        <v>87</v>
      </c>
      <c r="H675" s="800" t="s">
        <v>38</v>
      </c>
      <c r="I675" s="801" t="s">
        <v>89</v>
      </c>
      <c r="J675" s="55" t="s">
        <v>54</v>
      </c>
      <c r="K675" s="69">
        <f>12667.8+1040.8-774.3</f>
        <v>12934.3</v>
      </c>
      <c r="L675" s="69">
        <f>M675-K675</f>
        <v>0</v>
      </c>
      <c r="M675" s="69">
        <f>12667.8+1040.8-774.3</f>
        <v>12934.3</v>
      </c>
      <c r="N675" s="204"/>
    </row>
    <row r="676" spans="1:14" s="52" customFormat="1" ht="18" x14ac:dyDescent="0.35">
      <c r="A676" s="56"/>
      <c r="B676" s="610" t="s">
        <v>55</v>
      </c>
      <c r="C676" s="68" t="s">
        <v>304</v>
      </c>
      <c r="D676" s="55" t="s">
        <v>65</v>
      </c>
      <c r="E676" s="55" t="s">
        <v>61</v>
      </c>
      <c r="F676" s="799" t="s">
        <v>50</v>
      </c>
      <c r="G676" s="800" t="s">
        <v>87</v>
      </c>
      <c r="H676" s="800" t="s">
        <v>38</v>
      </c>
      <c r="I676" s="801" t="s">
        <v>89</v>
      </c>
      <c r="J676" s="55" t="s">
        <v>56</v>
      </c>
      <c r="K676" s="69">
        <v>1756.1</v>
      </c>
      <c r="L676" s="69">
        <f>M676-K676</f>
        <v>0</v>
      </c>
      <c r="M676" s="69">
        <v>1756.1</v>
      </c>
      <c r="N676" s="204"/>
    </row>
    <row r="677" spans="1:14" s="52" customFormat="1" ht="54" x14ac:dyDescent="0.35">
      <c r="A677" s="56"/>
      <c r="B677" s="610" t="s">
        <v>216</v>
      </c>
      <c r="C677" s="68" t="s">
        <v>304</v>
      </c>
      <c r="D677" s="55" t="s">
        <v>65</v>
      </c>
      <c r="E677" s="55" t="s">
        <v>61</v>
      </c>
      <c r="F677" s="799" t="s">
        <v>50</v>
      </c>
      <c r="G677" s="800" t="s">
        <v>87</v>
      </c>
      <c r="H677" s="800" t="s">
        <v>38</v>
      </c>
      <c r="I677" s="801" t="s">
        <v>306</v>
      </c>
      <c r="J677" s="55"/>
      <c r="K677" s="69">
        <f>K678</f>
        <v>6934.4000000000005</v>
      </c>
      <c r="L677" s="69">
        <f t="shared" ref="L677" si="231">L678</f>
        <v>0</v>
      </c>
      <c r="M677" s="69">
        <f>M678</f>
        <v>6934.4000000000005</v>
      </c>
      <c r="N677" s="204"/>
    </row>
    <row r="678" spans="1:14" s="52" customFormat="1" ht="54" x14ac:dyDescent="0.35">
      <c r="A678" s="56"/>
      <c r="B678" s="610" t="s">
        <v>53</v>
      </c>
      <c r="C678" s="68" t="s">
        <v>304</v>
      </c>
      <c r="D678" s="55" t="s">
        <v>65</v>
      </c>
      <c r="E678" s="55" t="s">
        <v>61</v>
      </c>
      <c r="F678" s="799" t="s">
        <v>50</v>
      </c>
      <c r="G678" s="800" t="s">
        <v>87</v>
      </c>
      <c r="H678" s="800" t="s">
        <v>38</v>
      </c>
      <c r="I678" s="801" t="s">
        <v>306</v>
      </c>
      <c r="J678" s="55" t="s">
        <v>54</v>
      </c>
      <c r="K678" s="69">
        <f>6160.1+774.3</f>
        <v>6934.4000000000005</v>
      </c>
      <c r="L678" s="69">
        <f>M678-K678</f>
        <v>0</v>
      </c>
      <c r="M678" s="69">
        <f>6160.1+774.3</f>
        <v>6934.4000000000005</v>
      </c>
      <c r="N678" s="204"/>
    </row>
    <row r="679" spans="1:14" s="52" customFormat="1" ht="180" x14ac:dyDescent="0.35">
      <c r="A679" s="56"/>
      <c r="B679" s="610" t="s">
        <v>455</v>
      </c>
      <c r="C679" s="68" t="s">
        <v>304</v>
      </c>
      <c r="D679" s="55" t="s">
        <v>65</v>
      </c>
      <c r="E679" s="55" t="s">
        <v>61</v>
      </c>
      <c r="F679" s="799" t="s">
        <v>50</v>
      </c>
      <c r="G679" s="800" t="s">
        <v>87</v>
      </c>
      <c r="H679" s="800" t="s">
        <v>38</v>
      </c>
      <c r="I679" s="801" t="s">
        <v>411</v>
      </c>
      <c r="J679" s="55"/>
      <c r="K679" s="69">
        <f>K680</f>
        <v>93.8</v>
      </c>
      <c r="L679" s="69">
        <f t="shared" ref="L679" si="232">L680</f>
        <v>0</v>
      </c>
      <c r="M679" s="69">
        <f>M680</f>
        <v>93.8</v>
      </c>
      <c r="N679" s="204"/>
    </row>
    <row r="680" spans="1:14" s="52" customFormat="1" ht="108" x14ac:dyDescent="0.35">
      <c r="A680" s="56"/>
      <c r="B680" s="610" t="s">
        <v>48</v>
      </c>
      <c r="C680" s="68" t="s">
        <v>304</v>
      </c>
      <c r="D680" s="55" t="s">
        <v>65</v>
      </c>
      <c r="E680" s="55" t="s">
        <v>61</v>
      </c>
      <c r="F680" s="799" t="s">
        <v>50</v>
      </c>
      <c r="G680" s="800" t="s">
        <v>87</v>
      </c>
      <c r="H680" s="800" t="s">
        <v>38</v>
      </c>
      <c r="I680" s="801" t="s">
        <v>411</v>
      </c>
      <c r="J680" s="55" t="s">
        <v>49</v>
      </c>
      <c r="K680" s="69">
        <v>93.8</v>
      </c>
      <c r="L680" s="69">
        <f>M680-K680</f>
        <v>0</v>
      </c>
      <c r="M680" s="69">
        <v>93.8</v>
      </c>
      <c r="N680" s="204"/>
    </row>
    <row r="681" spans="1:14" s="52" customFormat="1" ht="54" x14ac:dyDescent="0.35">
      <c r="A681" s="56"/>
      <c r="B681" s="610" t="s">
        <v>459</v>
      </c>
      <c r="C681" s="68" t="s">
        <v>304</v>
      </c>
      <c r="D681" s="55" t="s">
        <v>65</v>
      </c>
      <c r="E681" s="55" t="s">
        <v>61</v>
      </c>
      <c r="F681" s="799" t="s">
        <v>50</v>
      </c>
      <c r="G681" s="800" t="s">
        <v>87</v>
      </c>
      <c r="H681" s="800" t="s">
        <v>38</v>
      </c>
      <c r="I681" s="801" t="s">
        <v>431</v>
      </c>
      <c r="J681" s="55"/>
      <c r="K681" s="69">
        <f>K682</f>
        <v>2505.4</v>
      </c>
      <c r="L681" s="69">
        <f t="shared" ref="L681" si="233">L682</f>
        <v>0</v>
      </c>
      <c r="M681" s="69">
        <f>M682</f>
        <v>2505.4</v>
      </c>
      <c r="N681" s="204"/>
    </row>
    <row r="682" spans="1:14" s="52" customFormat="1" ht="108" x14ac:dyDescent="0.35">
      <c r="A682" s="56"/>
      <c r="B682" s="610" t="s">
        <v>48</v>
      </c>
      <c r="C682" s="68" t="s">
        <v>304</v>
      </c>
      <c r="D682" s="55" t="s">
        <v>65</v>
      </c>
      <c r="E682" s="55" t="s">
        <v>61</v>
      </c>
      <c r="F682" s="799" t="s">
        <v>50</v>
      </c>
      <c r="G682" s="800" t="s">
        <v>87</v>
      </c>
      <c r="H682" s="800" t="s">
        <v>38</v>
      </c>
      <c r="I682" s="801" t="s">
        <v>431</v>
      </c>
      <c r="J682" s="55" t="s">
        <v>49</v>
      </c>
      <c r="K682" s="69">
        <f>2114.8+39.1+351.5</f>
        <v>2505.4</v>
      </c>
      <c r="L682" s="69">
        <f>M682-K682</f>
        <v>0</v>
      </c>
      <c r="M682" s="69">
        <f>2114.8+39.1+351.5</f>
        <v>2505.4</v>
      </c>
      <c r="N682" s="204"/>
    </row>
    <row r="683" spans="1:14" s="52" customFormat="1" ht="36" customHeight="1" x14ac:dyDescent="0.35">
      <c r="A683" s="56"/>
      <c r="B683" s="659" t="s">
        <v>197</v>
      </c>
      <c r="C683" s="68" t="s">
        <v>304</v>
      </c>
      <c r="D683" s="55" t="s">
        <v>65</v>
      </c>
      <c r="E683" s="55" t="s">
        <v>63</v>
      </c>
      <c r="F683" s="799"/>
      <c r="G683" s="800"/>
      <c r="H683" s="800"/>
      <c r="I683" s="801"/>
      <c r="J683" s="55"/>
      <c r="K683" s="69">
        <f t="shared" ref="K683:M686" si="234">K684</f>
        <v>3088.7000000000003</v>
      </c>
      <c r="L683" s="69">
        <f t="shared" si="234"/>
        <v>0</v>
      </c>
      <c r="M683" s="69">
        <f t="shared" si="234"/>
        <v>3088.7000000000003</v>
      </c>
      <c r="N683" s="204"/>
    </row>
    <row r="684" spans="1:14" s="52" customFormat="1" ht="54" customHeight="1" x14ac:dyDescent="0.35">
      <c r="A684" s="56"/>
      <c r="B684" s="610" t="s">
        <v>214</v>
      </c>
      <c r="C684" s="68" t="s">
        <v>304</v>
      </c>
      <c r="D684" s="55" t="s">
        <v>65</v>
      </c>
      <c r="E684" s="55" t="s">
        <v>63</v>
      </c>
      <c r="F684" s="799" t="s">
        <v>50</v>
      </c>
      <c r="G684" s="800" t="s">
        <v>41</v>
      </c>
      <c r="H684" s="800" t="s">
        <v>42</v>
      </c>
      <c r="I684" s="801" t="s">
        <v>43</v>
      </c>
      <c r="J684" s="55"/>
      <c r="K684" s="69">
        <f t="shared" si="234"/>
        <v>3088.7000000000003</v>
      </c>
      <c r="L684" s="69">
        <f t="shared" si="234"/>
        <v>0</v>
      </c>
      <c r="M684" s="69">
        <f t="shared" si="234"/>
        <v>3088.7000000000003</v>
      </c>
      <c r="N684" s="204"/>
    </row>
    <row r="685" spans="1:14" s="52" customFormat="1" ht="36" customHeight="1" x14ac:dyDescent="0.35">
      <c r="A685" s="56"/>
      <c r="B685" s="617" t="s">
        <v>217</v>
      </c>
      <c r="C685" s="68" t="s">
        <v>304</v>
      </c>
      <c r="D685" s="55" t="s">
        <v>65</v>
      </c>
      <c r="E685" s="55" t="s">
        <v>63</v>
      </c>
      <c r="F685" s="799" t="s">
        <v>50</v>
      </c>
      <c r="G685" s="800" t="s">
        <v>87</v>
      </c>
      <c r="H685" s="800" t="s">
        <v>42</v>
      </c>
      <c r="I685" s="801" t="s">
        <v>43</v>
      </c>
      <c r="J685" s="55"/>
      <c r="K685" s="69">
        <f t="shared" si="234"/>
        <v>3088.7000000000003</v>
      </c>
      <c r="L685" s="69">
        <f t="shared" si="234"/>
        <v>0</v>
      </c>
      <c r="M685" s="69">
        <f t="shared" si="234"/>
        <v>3088.7000000000003</v>
      </c>
      <c r="N685" s="204"/>
    </row>
    <row r="686" spans="1:14" s="52" customFormat="1" ht="36" customHeight="1" x14ac:dyDescent="0.35">
      <c r="A686" s="56"/>
      <c r="B686" s="610" t="s">
        <v>296</v>
      </c>
      <c r="C686" s="68" t="s">
        <v>304</v>
      </c>
      <c r="D686" s="55" t="s">
        <v>65</v>
      </c>
      <c r="E686" s="55" t="s">
        <v>63</v>
      </c>
      <c r="F686" s="799" t="s">
        <v>50</v>
      </c>
      <c r="G686" s="800" t="s">
        <v>87</v>
      </c>
      <c r="H686" s="800" t="s">
        <v>36</v>
      </c>
      <c r="I686" s="801" t="s">
        <v>43</v>
      </c>
      <c r="J686" s="55"/>
      <c r="K686" s="69">
        <f t="shared" si="234"/>
        <v>3088.7000000000003</v>
      </c>
      <c r="L686" s="69">
        <f t="shared" si="234"/>
        <v>0</v>
      </c>
      <c r="M686" s="69">
        <f t="shared" si="234"/>
        <v>3088.7000000000003</v>
      </c>
      <c r="N686" s="204"/>
    </row>
    <row r="687" spans="1:14" s="52" customFormat="1" ht="36" customHeight="1" x14ac:dyDescent="0.35">
      <c r="A687" s="56"/>
      <c r="B687" s="610" t="s">
        <v>46</v>
      </c>
      <c r="C687" s="68" t="s">
        <v>304</v>
      </c>
      <c r="D687" s="55" t="s">
        <v>65</v>
      </c>
      <c r="E687" s="55" t="s">
        <v>63</v>
      </c>
      <c r="F687" s="799" t="s">
        <v>50</v>
      </c>
      <c r="G687" s="800" t="s">
        <v>87</v>
      </c>
      <c r="H687" s="800" t="s">
        <v>36</v>
      </c>
      <c r="I687" s="801" t="s">
        <v>47</v>
      </c>
      <c r="J687" s="55"/>
      <c r="K687" s="69">
        <f>K688+K689+K690</f>
        <v>3088.7000000000003</v>
      </c>
      <c r="L687" s="69">
        <f t="shared" ref="L687" si="235">L688+L689+L690</f>
        <v>0</v>
      </c>
      <c r="M687" s="69">
        <f>M688+M689+M690</f>
        <v>3088.7000000000003</v>
      </c>
      <c r="N687" s="204"/>
    </row>
    <row r="688" spans="1:14" s="52" customFormat="1" ht="108" customHeight="1" x14ac:dyDescent="0.35">
      <c r="A688" s="56"/>
      <c r="B688" s="610" t="s">
        <v>48</v>
      </c>
      <c r="C688" s="68" t="s">
        <v>304</v>
      </c>
      <c r="D688" s="55" t="s">
        <v>65</v>
      </c>
      <c r="E688" s="55" t="s">
        <v>63</v>
      </c>
      <c r="F688" s="799" t="s">
        <v>50</v>
      </c>
      <c r="G688" s="800" t="s">
        <v>87</v>
      </c>
      <c r="H688" s="800" t="s">
        <v>36</v>
      </c>
      <c r="I688" s="801" t="s">
        <v>47</v>
      </c>
      <c r="J688" s="55" t="s">
        <v>49</v>
      </c>
      <c r="K688" s="69">
        <v>3027.5</v>
      </c>
      <c r="L688" s="69">
        <f>M688-K688</f>
        <v>0</v>
      </c>
      <c r="M688" s="69">
        <v>3027.5</v>
      </c>
      <c r="N688" s="204"/>
    </row>
    <row r="689" spans="1:14" s="52" customFormat="1" ht="54" customHeight="1" x14ac:dyDescent="0.35">
      <c r="A689" s="56"/>
      <c r="B689" s="610" t="s">
        <v>53</v>
      </c>
      <c r="C689" s="68" t="s">
        <v>304</v>
      </c>
      <c r="D689" s="55" t="s">
        <v>65</v>
      </c>
      <c r="E689" s="55" t="s">
        <v>63</v>
      </c>
      <c r="F689" s="799" t="s">
        <v>50</v>
      </c>
      <c r="G689" s="800" t="s">
        <v>87</v>
      </c>
      <c r="H689" s="800" t="s">
        <v>36</v>
      </c>
      <c r="I689" s="801" t="s">
        <v>47</v>
      </c>
      <c r="J689" s="55" t="s">
        <v>54</v>
      </c>
      <c r="K689" s="69">
        <v>59.4</v>
      </c>
      <c r="L689" s="69">
        <f>M689-K689</f>
        <v>0</v>
      </c>
      <c r="M689" s="69">
        <v>59.4</v>
      </c>
      <c r="N689" s="204"/>
    </row>
    <row r="690" spans="1:14" s="52" customFormat="1" ht="18" customHeight="1" x14ac:dyDescent="0.35">
      <c r="A690" s="56"/>
      <c r="B690" s="610" t="s">
        <v>55</v>
      </c>
      <c r="C690" s="68" t="s">
        <v>304</v>
      </c>
      <c r="D690" s="55" t="s">
        <v>65</v>
      </c>
      <c r="E690" s="55" t="s">
        <v>63</v>
      </c>
      <c r="F690" s="799" t="s">
        <v>50</v>
      </c>
      <c r="G690" s="800" t="s">
        <v>87</v>
      </c>
      <c r="H690" s="800" t="s">
        <v>36</v>
      </c>
      <c r="I690" s="801" t="s">
        <v>47</v>
      </c>
      <c r="J690" s="55" t="s">
        <v>56</v>
      </c>
      <c r="K690" s="69">
        <v>1.8</v>
      </c>
      <c r="L690" s="69">
        <f>M690-K690</f>
        <v>0</v>
      </c>
      <c r="M690" s="69">
        <v>1.8</v>
      </c>
      <c r="N690" s="204"/>
    </row>
    <row r="691" spans="1:14" s="52" customFormat="1" ht="18" customHeight="1" x14ac:dyDescent="0.35">
      <c r="A691" s="56"/>
      <c r="B691" s="610"/>
      <c r="C691" s="68"/>
      <c r="D691" s="55"/>
      <c r="E691" s="55"/>
      <c r="F691" s="799"/>
      <c r="G691" s="800"/>
      <c r="H691" s="800"/>
      <c r="I691" s="801"/>
      <c r="J691" s="55"/>
      <c r="K691" s="69"/>
      <c r="L691" s="69"/>
      <c r="M691" s="69"/>
      <c r="N691" s="204"/>
    </row>
    <row r="692" spans="1:14" s="163" customFormat="1" ht="52.2" customHeight="1" x14ac:dyDescent="0.3">
      <c r="A692" s="162">
        <v>8</v>
      </c>
      <c r="B692" s="656" t="s">
        <v>11</v>
      </c>
      <c r="C692" s="63" t="s">
        <v>300</v>
      </c>
      <c r="D692" s="64"/>
      <c r="E692" s="64"/>
      <c r="F692" s="65"/>
      <c r="G692" s="66"/>
      <c r="H692" s="66"/>
      <c r="I692" s="67"/>
      <c r="J692" s="64"/>
      <c r="K692" s="77">
        <f>K709+K693</f>
        <v>10148.299999999999</v>
      </c>
      <c r="L692" s="77">
        <f t="shared" ref="L692" si="236">L709+L693</f>
        <v>102.20000000000005</v>
      </c>
      <c r="M692" s="77">
        <f>M709+M693</f>
        <v>10250.499999999998</v>
      </c>
    </row>
    <row r="693" spans="1:14" s="163" customFormat="1" ht="18" customHeight="1" x14ac:dyDescent="0.35">
      <c r="A693" s="162"/>
      <c r="B693" s="610" t="s">
        <v>35</v>
      </c>
      <c r="C693" s="68" t="s">
        <v>300</v>
      </c>
      <c r="D693" s="55" t="s">
        <v>36</v>
      </c>
      <c r="E693" s="55"/>
      <c r="F693" s="799"/>
      <c r="G693" s="800"/>
      <c r="H693" s="800"/>
      <c r="I693" s="801"/>
      <c r="J693" s="55"/>
      <c r="K693" s="261">
        <f t="shared" ref="K693:M695" si="237">K694</f>
        <v>155.79999999999998</v>
      </c>
      <c r="L693" s="261">
        <f t="shared" si="237"/>
        <v>0</v>
      </c>
      <c r="M693" s="261">
        <f t="shared" si="237"/>
        <v>155.79999999999998</v>
      </c>
    </row>
    <row r="694" spans="1:14" s="163" customFormat="1" ht="18" customHeight="1" x14ac:dyDescent="0.35">
      <c r="A694" s="162"/>
      <c r="B694" s="610" t="s">
        <v>68</v>
      </c>
      <c r="C694" s="68" t="s">
        <v>300</v>
      </c>
      <c r="D694" s="55" t="s">
        <v>36</v>
      </c>
      <c r="E694" s="55" t="s">
        <v>69</v>
      </c>
      <c r="F694" s="799"/>
      <c r="G694" s="800"/>
      <c r="H694" s="800"/>
      <c r="I694" s="801"/>
      <c r="J694" s="55"/>
      <c r="K694" s="261">
        <f>K695</f>
        <v>155.79999999999998</v>
      </c>
      <c r="L694" s="261">
        <f t="shared" si="237"/>
        <v>0</v>
      </c>
      <c r="M694" s="261">
        <f>M695</f>
        <v>155.79999999999998</v>
      </c>
    </row>
    <row r="695" spans="1:14" s="163" customFormat="1" ht="54" customHeight="1" x14ac:dyDescent="0.35">
      <c r="A695" s="162"/>
      <c r="B695" s="610" t="s">
        <v>218</v>
      </c>
      <c r="C695" s="68" t="s">
        <v>300</v>
      </c>
      <c r="D695" s="55" t="s">
        <v>36</v>
      </c>
      <c r="E695" s="55" t="s">
        <v>69</v>
      </c>
      <c r="F695" s="799" t="s">
        <v>63</v>
      </c>
      <c r="G695" s="800" t="s">
        <v>41</v>
      </c>
      <c r="H695" s="800" t="s">
        <v>42</v>
      </c>
      <c r="I695" s="801" t="s">
        <v>43</v>
      </c>
      <c r="J695" s="55"/>
      <c r="K695" s="261">
        <f t="shared" si="237"/>
        <v>155.79999999999998</v>
      </c>
      <c r="L695" s="261">
        <f t="shared" si="237"/>
        <v>0</v>
      </c>
      <c r="M695" s="261">
        <f t="shared" si="237"/>
        <v>155.79999999999998</v>
      </c>
    </row>
    <row r="696" spans="1:14" s="163" customFormat="1" ht="36" customHeight="1" x14ac:dyDescent="0.35">
      <c r="A696" s="162"/>
      <c r="B696" s="610" t="s">
        <v>217</v>
      </c>
      <c r="C696" s="68" t="s">
        <v>300</v>
      </c>
      <c r="D696" s="55" t="s">
        <v>36</v>
      </c>
      <c r="E696" s="55" t="s">
        <v>69</v>
      </c>
      <c r="F696" s="799" t="s">
        <v>63</v>
      </c>
      <c r="G696" s="800" t="s">
        <v>87</v>
      </c>
      <c r="H696" s="800" t="s">
        <v>42</v>
      </c>
      <c r="I696" s="801" t="s">
        <v>43</v>
      </c>
      <c r="J696" s="55"/>
      <c r="K696" s="261">
        <f>K700+K703+K706+K697</f>
        <v>155.79999999999998</v>
      </c>
      <c r="L696" s="261">
        <f t="shared" ref="L696" si="238">L700+L703+L706+L697</f>
        <v>0</v>
      </c>
      <c r="M696" s="261">
        <f>M700+M703+M706+M697</f>
        <v>155.79999999999998</v>
      </c>
    </row>
    <row r="697" spans="1:14" s="163" customFormat="1" ht="36" x14ac:dyDescent="0.35">
      <c r="A697" s="162"/>
      <c r="B697" s="610" t="s">
        <v>296</v>
      </c>
      <c r="C697" s="68" t="s">
        <v>300</v>
      </c>
      <c r="D697" s="55" t="s">
        <v>36</v>
      </c>
      <c r="E697" s="55" t="s">
        <v>69</v>
      </c>
      <c r="F697" s="799" t="s">
        <v>63</v>
      </c>
      <c r="G697" s="800" t="s">
        <v>87</v>
      </c>
      <c r="H697" s="800" t="s">
        <v>36</v>
      </c>
      <c r="I697" s="801" t="s">
        <v>43</v>
      </c>
      <c r="J697" s="73"/>
      <c r="K697" s="261">
        <f>K698</f>
        <v>6.6</v>
      </c>
      <c r="L697" s="261">
        <f t="shared" ref="L697:L698" si="239">L698</f>
        <v>0</v>
      </c>
      <c r="M697" s="261">
        <f>M698</f>
        <v>6.6</v>
      </c>
    </row>
    <row r="698" spans="1:14" s="163" customFormat="1" ht="54" customHeight="1" x14ac:dyDescent="0.35">
      <c r="A698" s="162"/>
      <c r="B698" s="681" t="s">
        <v>401</v>
      </c>
      <c r="C698" s="68" t="s">
        <v>300</v>
      </c>
      <c r="D698" s="55" t="s">
        <v>36</v>
      </c>
      <c r="E698" s="55" t="s">
        <v>69</v>
      </c>
      <c r="F698" s="799" t="s">
        <v>63</v>
      </c>
      <c r="G698" s="800" t="s">
        <v>87</v>
      </c>
      <c r="H698" s="800" t="s">
        <v>36</v>
      </c>
      <c r="I698" s="801" t="s">
        <v>400</v>
      </c>
      <c r="J698" s="73"/>
      <c r="K698" s="261">
        <f>K699</f>
        <v>6.6</v>
      </c>
      <c r="L698" s="261">
        <f t="shared" si="239"/>
        <v>0</v>
      </c>
      <c r="M698" s="261">
        <f>M699</f>
        <v>6.6</v>
      </c>
    </row>
    <row r="699" spans="1:14" s="163" customFormat="1" ht="54" customHeight="1" x14ac:dyDescent="0.35">
      <c r="A699" s="162"/>
      <c r="B699" s="681" t="s">
        <v>53</v>
      </c>
      <c r="C699" s="68" t="s">
        <v>300</v>
      </c>
      <c r="D699" s="55" t="s">
        <v>36</v>
      </c>
      <c r="E699" s="55" t="s">
        <v>69</v>
      </c>
      <c r="F699" s="799" t="s">
        <v>63</v>
      </c>
      <c r="G699" s="800" t="s">
        <v>87</v>
      </c>
      <c r="H699" s="800" t="s">
        <v>36</v>
      </c>
      <c r="I699" s="801" t="s">
        <v>400</v>
      </c>
      <c r="J699" s="73" t="s">
        <v>54</v>
      </c>
      <c r="K699" s="261">
        <v>6.6</v>
      </c>
      <c r="L699" s="69">
        <f>M699-K699</f>
        <v>0</v>
      </c>
      <c r="M699" s="261">
        <v>6.6</v>
      </c>
    </row>
    <row r="700" spans="1:14" s="163" customFormat="1" ht="36" customHeight="1" x14ac:dyDescent="0.35">
      <c r="A700" s="162"/>
      <c r="B700" s="681" t="s">
        <v>371</v>
      </c>
      <c r="C700" s="68" t="s">
        <v>300</v>
      </c>
      <c r="D700" s="55" t="s">
        <v>36</v>
      </c>
      <c r="E700" s="55" t="s">
        <v>69</v>
      </c>
      <c r="F700" s="799" t="s">
        <v>63</v>
      </c>
      <c r="G700" s="800" t="s">
        <v>87</v>
      </c>
      <c r="H700" s="800" t="s">
        <v>38</v>
      </c>
      <c r="I700" s="801" t="s">
        <v>43</v>
      </c>
      <c r="J700" s="55"/>
      <c r="K700" s="261">
        <f t="shared" ref="K700:M701" si="240">K701</f>
        <v>87.3</v>
      </c>
      <c r="L700" s="261">
        <f t="shared" si="240"/>
        <v>0</v>
      </c>
      <c r="M700" s="261">
        <f t="shared" si="240"/>
        <v>87.3</v>
      </c>
    </row>
    <row r="701" spans="1:14" s="163" customFormat="1" ht="54" customHeight="1" x14ac:dyDescent="0.35">
      <c r="A701" s="162"/>
      <c r="B701" s="681" t="s">
        <v>372</v>
      </c>
      <c r="C701" s="68" t="s">
        <v>300</v>
      </c>
      <c r="D701" s="55" t="s">
        <v>36</v>
      </c>
      <c r="E701" s="55" t="s">
        <v>69</v>
      </c>
      <c r="F701" s="799" t="s">
        <v>63</v>
      </c>
      <c r="G701" s="800" t="s">
        <v>87</v>
      </c>
      <c r="H701" s="800" t="s">
        <v>38</v>
      </c>
      <c r="I701" s="801" t="s">
        <v>103</v>
      </c>
      <c r="J701" s="55"/>
      <c r="K701" s="261">
        <f t="shared" si="240"/>
        <v>87.3</v>
      </c>
      <c r="L701" s="261">
        <f t="shared" si="240"/>
        <v>0</v>
      </c>
      <c r="M701" s="261">
        <f t="shared" si="240"/>
        <v>87.3</v>
      </c>
    </row>
    <row r="702" spans="1:14" s="163" customFormat="1" ht="54" customHeight="1" x14ac:dyDescent="0.35">
      <c r="A702" s="162"/>
      <c r="B702" s="681" t="s">
        <v>53</v>
      </c>
      <c r="C702" s="68" t="s">
        <v>300</v>
      </c>
      <c r="D702" s="55" t="s">
        <v>36</v>
      </c>
      <c r="E702" s="55" t="s">
        <v>69</v>
      </c>
      <c r="F702" s="799" t="s">
        <v>63</v>
      </c>
      <c r="G702" s="800" t="s">
        <v>87</v>
      </c>
      <c r="H702" s="800" t="s">
        <v>38</v>
      </c>
      <c r="I702" s="801" t="s">
        <v>103</v>
      </c>
      <c r="J702" s="55" t="s">
        <v>54</v>
      </c>
      <c r="K702" s="261">
        <v>87.3</v>
      </c>
      <c r="L702" s="69">
        <f>M702-K702</f>
        <v>0</v>
      </c>
      <c r="M702" s="261">
        <v>87.3</v>
      </c>
    </row>
    <row r="703" spans="1:14" s="163" customFormat="1" ht="36" customHeight="1" x14ac:dyDescent="0.35">
      <c r="A703" s="162"/>
      <c r="B703" s="610" t="s">
        <v>488</v>
      </c>
      <c r="C703" s="68" t="s">
        <v>300</v>
      </c>
      <c r="D703" s="55" t="s">
        <v>36</v>
      </c>
      <c r="E703" s="55" t="s">
        <v>69</v>
      </c>
      <c r="F703" s="799" t="s">
        <v>63</v>
      </c>
      <c r="G703" s="800" t="s">
        <v>87</v>
      </c>
      <c r="H703" s="800" t="s">
        <v>61</v>
      </c>
      <c r="I703" s="801" t="s">
        <v>43</v>
      </c>
      <c r="J703" s="55"/>
      <c r="K703" s="261">
        <f t="shared" ref="K703:M704" si="241">K704</f>
        <v>15.4</v>
      </c>
      <c r="L703" s="261">
        <f t="shared" si="241"/>
        <v>0</v>
      </c>
      <c r="M703" s="261">
        <f t="shared" si="241"/>
        <v>15.4</v>
      </c>
    </row>
    <row r="704" spans="1:14" s="163" customFormat="1" ht="18" customHeight="1" x14ac:dyDescent="0.35">
      <c r="A704" s="162"/>
      <c r="B704" s="610" t="s">
        <v>486</v>
      </c>
      <c r="C704" s="68" t="s">
        <v>300</v>
      </c>
      <c r="D704" s="55" t="s">
        <v>36</v>
      </c>
      <c r="E704" s="55" t="s">
        <v>69</v>
      </c>
      <c r="F704" s="799" t="s">
        <v>63</v>
      </c>
      <c r="G704" s="800" t="s">
        <v>87</v>
      </c>
      <c r="H704" s="800" t="s">
        <v>61</v>
      </c>
      <c r="I704" s="801" t="s">
        <v>487</v>
      </c>
      <c r="J704" s="55"/>
      <c r="K704" s="261">
        <f t="shared" si="241"/>
        <v>15.4</v>
      </c>
      <c r="L704" s="261">
        <f t="shared" si="241"/>
        <v>0</v>
      </c>
      <c r="M704" s="261">
        <f t="shared" si="241"/>
        <v>15.4</v>
      </c>
    </row>
    <row r="705" spans="1:14" s="163" customFormat="1" ht="54" customHeight="1" x14ac:dyDescent="0.35">
      <c r="A705" s="162"/>
      <c r="B705" s="681" t="s">
        <v>53</v>
      </c>
      <c r="C705" s="68" t="s">
        <v>300</v>
      </c>
      <c r="D705" s="55" t="s">
        <v>36</v>
      </c>
      <c r="E705" s="55" t="s">
        <v>69</v>
      </c>
      <c r="F705" s="799" t="s">
        <v>63</v>
      </c>
      <c r="G705" s="800" t="s">
        <v>87</v>
      </c>
      <c r="H705" s="800" t="s">
        <v>61</v>
      </c>
      <c r="I705" s="801" t="s">
        <v>487</v>
      </c>
      <c r="J705" s="73" t="s">
        <v>54</v>
      </c>
      <c r="K705" s="261">
        <v>15.4</v>
      </c>
      <c r="L705" s="69">
        <f>M705-K705</f>
        <v>0</v>
      </c>
      <c r="M705" s="261">
        <v>15.4</v>
      </c>
    </row>
    <row r="706" spans="1:14" s="163" customFormat="1" ht="36" customHeight="1" x14ac:dyDescent="0.35">
      <c r="A706" s="162"/>
      <c r="B706" s="681" t="s">
        <v>491</v>
      </c>
      <c r="C706" s="68" t="s">
        <v>300</v>
      </c>
      <c r="D706" s="55" t="s">
        <v>36</v>
      </c>
      <c r="E706" s="55" t="s">
        <v>69</v>
      </c>
      <c r="F706" s="799" t="s">
        <v>63</v>
      </c>
      <c r="G706" s="800" t="s">
        <v>87</v>
      </c>
      <c r="H706" s="800" t="s">
        <v>50</v>
      </c>
      <c r="I706" s="801" t="s">
        <v>43</v>
      </c>
      <c r="J706" s="64"/>
      <c r="K706" s="261">
        <f t="shared" ref="K706:M707" si="242">K707</f>
        <v>46.5</v>
      </c>
      <c r="L706" s="261">
        <f t="shared" si="242"/>
        <v>0</v>
      </c>
      <c r="M706" s="261">
        <f t="shared" si="242"/>
        <v>46.5</v>
      </c>
    </row>
    <row r="707" spans="1:14" s="163" customFormat="1" ht="36" customHeight="1" x14ac:dyDescent="0.35">
      <c r="A707" s="162"/>
      <c r="B707" s="682" t="s">
        <v>125</v>
      </c>
      <c r="C707" s="68" t="s">
        <v>300</v>
      </c>
      <c r="D707" s="55" t="s">
        <v>36</v>
      </c>
      <c r="E707" s="55" t="s">
        <v>69</v>
      </c>
      <c r="F707" s="799" t="s">
        <v>63</v>
      </c>
      <c r="G707" s="800" t="s">
        <v>87</v>
      </c>
      <c r="H707" s="800" t="s">
        <v>50</v>
      </c>
      <c r="I707" s="801" t="s">
        <v>88</v>
      </c>
      <c r="J707" s="64"/>
      <c r="K707" s="261">
        <f t="shared" si="242"/>
        <v>46.5</v>
      </c>
      <c r="L707" s="261">
        <f t="shared" si="242"/>
        <v>0</v>
      </c>
      <c r="M707" s="261">
        <f t="shared" si="242"/>
        <v>46.5</v>
      </c>
    </row>
    <row r="708" spans="1:14" s="163" customFormat="1" ht="54" customHeight="1" x14ac:dyDescent="0.35">
      <c r="A708" s="162"/>
      <c r="B708" s="681" t="s">
        <v>53</v>
      </c>
      <c r="C708" s="68" t="s">
        <v>300</v>
      </c>
      <c r="D708" s="55" t="s">
        <v>36</v>
      </c>
      <c r="E708" s="55" t="s">
        <v>69</v>
      </c>
      <c r="F708" s="799" t="s">
        <v>63</v>
      </c>
      <c r="G708" s="800" t="s">
        <v>87</v>
      </c>
      <c r="H708" s="800" t="s">
        <v>50</v>
      </c>
      <c r="I708" s="801" t="s">
        <v>88</v>
      </c>
      <c r="J708" s="73" t="s">
        <v>54</v>
      </c>
      <c r="K708" s="261">
        <v>46.5</v>
      </c>
      <c r="L708" s="69">
        <f>M708-K708</f>
        <v>0</v>
      </c>
      <c r="M708" s="261">
        <v>46.5</v>
      </c>
    </row>
    <row r="709" spans="1:14" s="52" customFormat="1" ht="18" customHeight="1" x14ac:dyDescent="0.35">
      <c r="A709" s="162"/>
      <c r="B709" s="610" t="s">
        <v>177</v>
      </c>
      <c r="C709" s="68" t="s">
        <v>300</v>
      </c>
      <c r="D709" s="55" t="s">
        <v>221</v>
      </c>
      <c r="E709" s="55"/>
      <c r="F709" s="799"/>
      <c r="G709" s="800"/>
      <c r="H709" s="800"/>
      <c r="I709" s="801"/>
      <c r="J709" s="55"/>
      <c r="K709" s="69">
        <f>K710+K720</f>
        <v>9992.5</v>
      </c>
      <c r="L709" s="69">
        <f t="shared" ref="L709" si="243">L710+L720</f>
        <v>102.20000000000005</v>
      </c>
      <c r="M709" s="69">
        <f>M710+M720</f>
        <v>10094.699999999999</v>
      </c>
    </row>
    <row r="710" spans="1:14" s="163" customFormat="1" ht="18" customHeight="1" x14ac:dyDescent="0.35">
      <c r="A710" s="162"/>
      <c r="B710" s="610" t="s">
        <v>370</v>
      </c>
      <c r="C710" s="68" t="s">
        <v>300</v>
      </c>
      <c r="D710" s="55" t="s">
        <v>221</v>
      </c>
      <c r="E710" s="55" t="s">
        <v>221</v>
      </c>
      <c r="F710" s="799"/>
      <c r="G710" s="800"/>
      <c r="H710" s="800"/>
      <c r="I710" s="801"/>
      <c r="J710" s="55"/>
      <c r="K710" s="69">
        <f t="shared" ref="K710:M712" si="244">K711</f>
        <v>6312.4</v>
      </c>
      <c r="L710" s="69">
        <f t="shared" si="244"/>
        <v>102.20000000000005</v>
      </c>
      <c r="M710" s="69">
        <f t="shared" si="244"/>
        <v>6414.5999999999995</v>
      </c>
    </row>
    <row r="711" spans="1:14" s="163" customFormat="1" ht="54" customHeight="1" x14ac:dyDescent="0.35">
      <c r="A711" s="162"/>
      <c r="B711" s="610" t="s">
        <v>218</v>
      </c>
      <c r="C711" s="68" t="s">
        <v>300</v>
      </c>
      <c r="D711" s="55" t="s">
        <v>221</v>
      </c>
      <c r="E711" s="55" t="s">
        <v>221</v>
      </c>
      <c r="F711" s="799" t="s">
        <v>63</v>
      </c>
      <c r="G711" s="800" t="s">
        <v>41</v>
      </c>
      <c r="H711" s="800" t="s">
        <v>42</v>
      </c>
      <c r="I711" s="801" t="s">
        <v>43</v>
      </c>
      <c r="J711" s="55"/>
      <c r="K711" s="69">
        <f t="shared" si="244"/>
        <v>6312.4</v>
      </c>
      <c r="L711" s="69">
        <f t="shared" si="244"/>
        <v>102.20000000000005</v>
      </c>
      <c r="M711" s="69">
        <f t="shared" si="244"/>
        <v>6414.5999999999995</v>
      </c>
    </row>
    <row r="712" spans="1:14" s="163" customFormat="1" ht="18" customHeight="1" x14ac:dyDescent="0.35">
      <c r="A712" s="162"/>
      <c r="B712" s="610" t="s">
        <v>219</v>
      </c>
      <c r="C712" s="68" t="s">
        <v>300</v>
      </c>
      <c r="D712" s="55" t="s">
        <v>221</v>
      </c>
      <c r="E712" s="55" t="s">
        <v>221</v>
      </c>
      <c r="F712" s="799" t="s">
        <v>63</v>
      </c>
      <c r="G712" s="800" t="s">
        <v>44</v>
      </c>
      <c r="H712" s="800" t="s">
        <v>42</v>
      </c>
      <c r="I712" s="801" t="s">
        <v>43</v>
      </c>
      <c r="J712" s="55"/>
      <c r="K712" s="69">
        <f t="shared" si="244"/>
        <v>6312.4</v>
      </c>
      <c r="L712" s="69">
        <f t="shared" si="244"/>
        <v>102.20000000000005</v>
      </c>
      <c r="M712" s="69">
        <f t="shared" si="244"/>
        <v>6414.5999999999995</v>
      </c>
    </row>
    <row r="713" spans="1:14" s="163" customFormat="1" ht="84" customHeight="1" x14ac:dyDescent="0.35">
      <c r="A713" s="162"/>
      <c r="B713" s="610" t="s">
        <v>301</v>
      </c>
      <c r="C713" s="68" t="s">
        <v>300</v>
      </c>
      <c r="D713" s="55" t="s">
        <v>221</v>
      </c>
      <c r="E713" s="55" t="s">
        <v>221</v>
      </c>
      <c r="F713" s="799" t="s">
        <v>63</v>
      </c>
      <c r="G713" s="800" t="s">
        <v>44</v>
      </c>
      <c r="H713" s="800" t="s">
        <v>36</v>
      </c>
      <c r="I713" s="801" t="s">
        <v>43</v>
      </c>
      <c r="J713" s="55"/>
      <c r="K713" s="69">
        <f>K714+K718</f>
        <v>6312.4</v>
      </c>
      <c r="L713" s="69">
        <f t="shared" ref="L713" si="245">L714+L718</f>
        <v>102.20000000000005</v>
      </c>
      <c r="M713" s="69">
        <f>M714+M718</f>
        <v>6414.5999999999995</v>
      </c>
    </row>
    <row r="714" spans="1:14" s="163" customFormat="1" ht="51" customHeight="1" x14ac:dyDescent="0.35">
      <c r="A714" s="162"/>
      <c r="B714" s="642" t="s">
        <v>484</v>
      </c>
      <c r="C714" s="68" t="s">
        <v>300</v>
      </c>
      <c r="D714" s="55" t="s">
        <v>221</v>
      </c>
      <c r="E714" s="55" t="s">
        <v>221</v>
      </c>
      <c r="F714" s="799" t="s">
        <v>63</v>
      </c>
      <c r="G714" s="800" t="s">
        <v>44</v>
      </c>
      <c r="H714" s="800" t="s">
        <v>36</v>
      </c>
      <c r="I714" s="801" t="s">
        <v>89</v>
      </c>
      <c r="J714" s="55"/>
      <c r="K714" s="69">
        <f>K715+K716+K717</f>
        <v>4406.8999999999996</v>
      </c>
      <c r="L714" s="69">
        <f t="shared" ref="L714" si="246">L715+L716+L717</f>
        <v>0</v>
      </c>
      <c r="M714" s="69">
        <f>M715+M716+M717</f>
        <v>4406.8999999999996</v>
      </c>
    </row>
    <row r="715" spans="1:14" s="163" customFormat="1" ht="108" customHeight="1" x14ac:dyDescent="0.35">
      <c r="A715" s="56"/>
      <c r="B715" s="610" t="s">
        <v>48</v>
      </c>
      <c r="C715" s="68" t="s">
        <v>300</v>
      </c>
      <c r="D715" s="55" t="s">
        <v>221</v>
      </c>
      <c r="E715" s="55" t="s">
        <v>221</v>
      </c>
      <c r="F715" s="799" t="s">
        <v>63</v>
      </c>
      <c r="G715" s="800" t="s">
        <v>44</v>
      </c>
      <c r="H715" s="800" t="s">
        <v>36</v>
      </c>
      <c r="I715" s="801" t="s">
        <v>89</v>
      </c>
      <c r="J715" s="55" t="s">
        <v>49</v>
      </c>
      <c r="K715" s="69">
        <v>4032.7</v>
      </c>
      <c r="L715" s="69">
        <f>M715-K715</f>
        <v>0</v>
      </c>
      <c r="M715" s="69">
        <v>4032.7</v>
      </c>
    </row>
    <row r="716" spans="1:14" s="52" customFormat="1" ht="54" customHeight="1" x14ac:dyDescent="0.35">
      <c r="A716" s="56"/>
      <c r="B716" s="610" t="s">
        <v>53</v>
      </c>
      <c r="C716" s="68" t="s">
        <v>300</v>
      </c>
      <c r="D716" s="55" t="s">
        <v>221</v>
      </c>
      <c r="E716" s="55" t="s">
        <v>221</v>
      </c>
      <c r="F716" s="799" t="s">
        <v>63</v>
      </c>
      <c r="G716" s="800" t="s">
        <v>44</v>
      </c>
      <c r="H716" s="800" t="s">
        <v>36</v>
      </c>
      <c r="I716" s="801" t="s">
        <v>89</v>
      </c>
      <c r="J716" s="55" t="s">
        <v>54</v>
      </c>
      <c r="K716" s="69">
        <v>371.5</v>
      </c>
      <c r="L716" s="69">
        <f>M716-K716</f>
        <v>0</v>
      </c>
      <c r="M716" s="69">
        <v>371.5</v>
      </c>
    </row>
    <row r="717" spans="1:14" s="52" customFormat="1" ht="18" customHeight="1" x14ac:dyDescent="0.35">
      <c r="A717" s="56"/>
      <c r="B717" s="610" t="s">
        <v>55</v>
      </c>
      <c r="C717" s="68" t="s">
        <v>300</v>
      </c>
      <c r="D717" s="55" t="s">
        <v>221</v>
      </c>
      <c r="E717" s="55" t="s">
        <v>221</v>
      </c>
      <c r="F717" s="799" t="s">
        <v>63</v>
      </c>
      <c r="G717" s="800" t="s">
        <v>44</v>
      </c>
      <c r="H717" s="800" t="s">
        <v>36</v>
      </c>
      <c r="I717" s="801" t="s">
        <v>89</v>
      </c>
      <c r="J717" s="55" t="s">
        <v>56</v>
      </c>
      <c r="K717" s="69">
        <v>2.7</v>
      </c>
      <c r="L717" s="69">
        <f>M717-K717</f>
        <v>0</v>
      </c>
      <c r="M717" s="69">
        <v>2.7</v>
      </c>
    </row>
    <row r="718" spans="1:14" s="52" customFormat="1" ht="36" customHeight="1" x14ac:dyDescent="0.35">
      <c r="A718" s="56"/>
      <c r="B718" s="610" t="s">
        <v>302</v>
      </c>
      <c r="C718" s="68" t="s">
        <v>300</v>
      </c>
      <c r="D718" s="55" t="s">
        <v>221</v>
      </c>
      <c r="E718" s="55" t="s">
        <v>221</v>
      </c>
      <c r="F718" s="799" t="s">
        <v>63</v>
      </c>
      <c r="G718" s="800" t="s">
        <v>44</v>
      </c>
      <c r="H718" s="800" t="s">
        <v>36</v>
      </c>
      <c r="I718" s="801" t="s">
        <v>303</v>
      </c>
      <c r="J718" s="55"/>
      <c r="K718" s="69">
        <f>K719</f>
        <v>1905.4999999999998</v>
      </c>
      <c r="L718" s="69">
        <f t="shared" ref="L718" si="247">L719</f>
        <v>102.20000000000005</v>
      </c>
      <c r="M718" s="69">
        <f>M719</f>
        <v>2007.6999999999998</v>
      </c>
    </row>
    <row r="719" spans="1:14" s="52" customFormat="1" ht="54" customHeight="1" x14ac:dyDescent="0.35">
      <c r="A719" s="56"/>
      <c r="B719" s="610" t="s">
        <v>53</v>
      </c>
      <c r="C719" s="68" t="s">
        <v>300</v>
      </c>
      <c r="D719" s="55" t="s">
        <v>221</v>
      </c>
      <c r="E719" s="55" t="s">
        <v>221</v>
      </c>
      <c r="F719" s="799" t="s">
        <v>63</v>
      </c>
      <c r="G719" s="800" t="s">
        <v>44</v>
      </c>
      <c r="H719" s="800" t="s">
        <v>36</v>
      </c>
      <c r="I719" s="801" t="s">
        <v>303</v>
      </c>
      <c r="J719" s="55" t="s">
        <v>54</v>
      </c>
      <c r="K719" s="69">
        <f>955.5+280.6+327.8+190.6+151</f>
        <v>1905.4999999999998</v>
      </c>
      <c r="L719" s="69">
        <f>M719-K719</f>
        <v>102.20000000000005</v>
      </c>
      <c r="M719" s="69">
        <f>955.5+280.6+327.8+190.6+151+102.2</f>
        <v>2007.6999999999998</v>
      </c>
    </row>
    <row r="720" spans="1:14" s="52" customFormat="1" ht="18" customHeight="1" x14ac:dyDescent="0.35">
      <c r="A720" s="56"/>
      <c r="B720" s="610" t="s">
        <v>184</v>
      </c>
      <c r="C720" s="195" t="s">
        <v>300</v>
      </c>
      <c r="D720" s="55" t="s">
        <v>221</v>
      </c>
      <c r="E720" s="55" t="s">
        <v>77</v>
      </c>
      <c r="F720" s="799"/>
      <c r="G720" s="800"/>
      <c r="H720" s="800"/>
      <c r="I720" s="801"/>
      <c r="J720" s="55"/>
      <c r="K720" s="69">
        <f t="shared" ref="K720:M723" si="248">K721</f>
        <v>3680.1</v>
      </c>
      <c r="L720" s="69">
        <f t="shared" si="248"/>
        <v>0</v>
      </c>
      <c r="M720" s="69">
        <f t="shared" si="248"/>
        <v>3680.1</v>
      </c>
      <c r="N720" s="204"/>
    </row>
    <row r="721" spans="1:14" s="52" customFormat="1" ht="54" customHeight="1" x14ac:dyDescent="0.35">
      <c r="A721" s="56"/>
      <c r="B721" s="610" t="s">
        <v>218</v>
      </c>
      <c r="C721" s="195" t="s">
        <v>300</v>
      </c>
      <c r="D721" s="55" t="s">
        <v>221</v>
      </c>
      <c r="E721" s="55" t="s">
        <v>77</v>
      </c>
      <c r="F721" s="799" t="s">
        <v>63</v>
      </c>
      <c r="G721" s="800" t="s">
        <v>41</v>
      </c>
      <c r="H721" s="800" t="s">
        <v>42</v>
      </c>
      <c r="I721" s="801" t="s">
        <v>43</v>
      </c>
      <c r="J721" s="55"/>
      <c r="K721" s="69">
        <f t="shared" si="248"/>
        <v>3680.1</v>
      </c>
      <c r="L721" s="69">
        <f t="shared" si="248"/>
        <v>0</v>
      </c>
      <c r="M721" s="69">
        <f t="shared" si="248"/>
        <v>3680.1</v>
      </c>
      <c r="N721" s="204"/>
    </row>
    <row r="722" spans="1:14" s="52" customFormat="1" ht="36" customHeight="1" x14ac:dyDescent="0.35">
      <c r="A722" s="56"/>
      <c r="B722" s="610" t="s">
        <v>217</v>
      </c>
      <c r="C722" s="68" t="s">
        <v>300</v>
      </c>
      <c r="D722" s="55" t="s">
        <v>221</v>
      </c>
      <c r="E722" s="55" t="s">
        <v>77</v>
      </c>
      <c r="F722" s="799" t="s">
        <v>63</v>
      </c>
      <c r="G722" s="800" t="s">
        <v>87</v>
      </c>
      <c r="H722" s="800" t="s">
        <v>42</v>
      </c>
      <c r="I722" s="801" t="s">
        <v>43</v>
      </c>
      <c r="J722" s="55"/>
      <c r="K722" s="69">
        <f t="shared" si="248"/>
        <v>3680.1</v>
      </c>
      <c r="L722" s="69">
        <f t="shared" si="248"/>
        <v>0</v>
      </c>
      <c r="M722" s="69">
        <f t="shared" si="248"/>
        <v>3680.1</v>
      </c>
    </row>
    <row r="723" spans="1:14" s="163" customFormat="1" ht="36" customHeight="1" x14ac:dyDescent="0.35">
      <c r="A723" s="56"/>
      <c r="B723" s="610" t="s">
        <v>296</v>
      </c>
      <c r="C723" s="68" t="s">
        <v>300</v>
      </c>
      <c r="D723" s="55" t="s">
        <v>221</v>
      </c>
      <c r="E723" s="55" t="s">
        <v>77</v>
      </c>
      <c r="F723" s="799" t="s">
        <v>63</v>
      </c>
      <c r="G723" s="800" t="s">
        <v>87</v>
      </c>
      <c r="H723" s="800" t="s">
        <v>36</v>
      </c>
      <c r="I723" s="801" t="s">
        <v>43</v>
      </c>
      <c r="J723" s="55"/>
      <c r="K723" s="69">
        <f>K724</f>
        <v>3680.1</v>
      </c>
      <c r="L723" s="69">
        <f t="shared" si="248"/>
        <v>0</v>
      </c>
      <c r="M723" s="69">
        <f>M724</f>
        <v>3680.1</v>
      </c>
    </row>
    <row r="724" spans="1:14" s="52" customFormat="1" ht="36" customHeight="1" x14ac:dyDescent="0.35">
      <c r="A724" s="56"/>
      <c r="B724" s="610" t="s">
        <v>46</v>
      </c>
      <c r="C724" s="68" t="s">
        <v>300</v>
      </c>
      <c r="D724" s="55" t="s">
        <v>221</v>
      </c>
      <c r="E724" s="55" t="s">
        <v>77</v>
      </c>
      <c r="F724" s="799" t="s">
        <v>63</v>
      </c>
      <c r="G724" s="800" t="s">
        <v>87</v>
      </c>
      <c r="H724" s="800" t="s">
        <v>36</v>
      </c>
      <c r="I724" s="801" t="s">
        <v>47</v>
      </c>
      <c r="J724" s="55"/>
      <c r="K724" s="69">
        <f>K725+K726+K727</f>
        <v>3680.1</v>
      </c>
      <c r="L724" s="69">
        <f t="shared" ref="L724" si="249">L725+L726+L727</f>
        <v>0</v>
      </c>
      <c r="M724" s="69">
        <f>M725+M726+M727</f>
        <v>3680.1</v>
      </c>
    </row>
    <row r="725" spans="1:14" s="52" customFormat="1" ht="108" customHeight="1" x14ac:dyDescent="0.35">
      <c r="A725" s="56"/>
      <c r="B725" s="610" t="s">
        <v>48</v>
      </c>
      <c r="C725" s="68" t="s">
        <v>300</v>
      </c>
      <c r="D725" s="55" t="s">
        <v>221</v>
      </c>
      <c r="E725" s="55" t="s">
        <v>77</v>
      </c>
      <c r="F725" s="799" t="s">
        <v>63</v>
      </c>
      <c r="G725" s="800" t="s">
        <v>87</v>
      </c>
      <c r="H725" s="800" t="s">
        <v>36</v>
      </c>
      <c r="I725" s="801" t="s">
        <v>47</v>
      </c>
      <c r="J725" s="55" t="s">
        <v>49</v>
      </c>
      <c r="K725" s="69">
        <f>3294.3+21.7</f>
        <v>3316</v>
      </c>
      <c r="L725" s="69">
        <f>M725-K725</f>
        <v>0</v>
      </c>
      <c r="M725" s="69">
        <f>3294.3+21.7</f>
        <v>3316</v>
      </c>
      <c r="N725" s="204"/>
    </row>
    <row r="726" spans="1:14" s="52" customFormat="1" ht="54" customHeight="1" x14ac:dyDescent="0.35">
      <c r="A726" s="56"/>
      <c r="B726" s="610" t="s">
        <v>53</v>
      </c>
      <c r="C726" s="195" t="s">
        <v>300</v>
      </c>
      <c r="D726" s="140" t="s">
        <v>221</v>
      </c>
      <c r="E726" s="140" t="s">
        <v>77</v>
      </c>
      <c r="F726" s="799" t="s">
        <v>63</v>
      </c>
      <c r="G726" s="800" t="s">
        <v>87</v>
      </c>
      <c r="H726" s="800" t="s">
        <v>36</v>
      </c>
      <c r="I726" s="801" t="s">
        <v>47</v>
      </c>
      <c r="J726" s="55" t="s">
        <v>54</v>
      </c>
      <c r="K726" s="69">
        <v>362.9</v>
      </c>
      <c r="L726" s="69">
        <f>M726-K726</f>
        <v>0</v>
      </c>
      <c r="M726" s="69">
        <v>362.9</v>
      </c>
    </row>
    <row r="727" spans="1:14" s="52" customFormat="1" ht="18" customHeight="1" x14ac:dyDescent="0.35">
      <c r="A727" s="56"/>
      <c r="B727" s="610" t="s">
        <v>55</v>
      </c>
      <c r="C727" s="195" t="s">
        <v>300</v>
      </c>
      <c r="D727" s="140" t="s">
        <v>221</v>
      </c>
      <c r="E727" s="140" t="s">
        <v>77</v>
      </c>
      <c r="F727" s="799" t="s">
        <v>63</v>
      </c>
      <c r="G727" s="800" t="s">
        <v>87</v>
      </c>
      <c r="H727" s="800" t="s">
        <v>36</v>
      </c>
      <c r="I727" s="801" t="s">
        <v>47</v>
      </c>
      <c r="J727" s="55" t="s">
        <v>56</v>
      </c>
      <c r="K727" s="69">
        <v>1.2</v>
      </c>
      <c r="L727" s="69">
        <f>M727-K727</f>
        <v>0</v>
      </c>
      <c r="M727" s="69">
        <v>1.2</v>
      </c>
      <c r="N727" s="204"/>
    </row>
    <row r="728" spans="1:14" s="52" customFormat="1" ht="18" customHeight="1" x14ac:dyDescent="0.35">
      <c r="A728" s="56"/>
      <c r="B728" s="610"/>
      <c r="C728" s="195"/>
      <c r="D728" s="140"/>
      <c r="E728" s="140"/>
      <c r="F728" s="799"/>
      <c r="G728" s="800"/>
      <c r="H728" s="800"/>
      <c r="I728" s="801"/>
      <c r="J728" s="55"/>
      <c r="K728" s="69"/>
      <c r="L728" s="69"/>
      <c r="M728" s="69"/>
      <c r="N728" s="204"/>
    </row>
    <row r="729" spans="1:14" s="163" customFormat="1" ht="52.2" customHeight="1" x14ac:dyDescent="0.3">
      <c r="A729" s="162">
        <v>9</v>
      </c>
      <c r="B729" s="656" t="s">
        <v>12</v>
      </c>
      <c r="C729" s="63" t="s">
        <v>308</v>
      </c>
      <c r="D729" s="64"/>
      <c r="E729" s="64"/>
      <c r="F729" s="65"/>
      <c r="G729" s="66"/>
      <c r="H729" s="66"/>
      <c r="I729" s="67"/>
      <c r="J729" s="64"/>
      <c r="K729" s="77">
        <f>K730</f>
        <v>73563.199999999997</v>
      </c>
      <c r="L729" s="77">
        <f t="shared" ref="L729" si="250">L730</f>
        <v>142.9</v>
      </c>
      <c r="M729" s="77">
        <f>M730</f>
        <v>73706.099999999991</v>
      </c>
    </row>
    <row r="730" spans="1:14" s="52" customFormat="1" ht="18" customHeight="1" x14ac:dyDescent="0.35">
      <c r="A730" s="56"/>
      <c r="B730" s="659" t="s">
        <v>117</v>
      </c>
      <c r="C730" s="68" t="s">
        <v>308</v>
      </c>
      <c r="D730" s="55" t="s">
        <v>102</v>
      </c>
      <c r="E730" s="55"/>
      <c r="F730" s="799"/>
      <c r="G730" s="800"/>
      <c r="H730" s="800"/>
      <c r="I730" s="801"/>
      <c r="J730" s="55"/>
      <c r="K730" s="69">
        <f>K731+K749</f>
        <v>73563.199999999997</v>
      </c>
      <c r="L730" s="69">
        <f t="shared" ref="L730" si="251">L731+L749</f>
        <v>142.9</v>
      </c>
      <c r="M730" s="69">
        <f>M731+M749</f>
        <v>73706.099999999991</v>
      </c>
    </row>
    <row r="731" spans="1:14" s="52" customFormat="1" ht="18" customHeight="1" x14ac:dyDescent="0.35">
      <c r="A731" s="56"/>
      <c r="B731" s="610" t="s">
        <v>191</v>
      </c>
      <c r="C731" s="68" t="s">
        <v>308</v>
      </c>
      <c r="D731" s="55" t="s">
        <v>102</v>
      </c>
      <c r="E731" s="55" t="s">
        <v>50</v>
      </c>
      <c r="F731" s="799"/>
      <c r="G731" s="800"/>
      <c r="H731" s="800"/>
      <c r="I731" s="801"/>
      <c r="J731" s="55"/>
      <c r="K731" s="69">
        <f t="shared" ref="K731:M733" si="252">K732</f>
        <v>64549.899999999994</v>
      </c>
      <c r="L731" s="69">
        <f t="shared" si="252"/>
        <v>142.9</v>
      </c>
      <c r="M731" s="69">
        <f t="shared" si="252"/>
        <v>64692.799999999996</v>
      </c>
    </row>
    <row r="732" spans="1:14" s="52" customFormat="1" ht="54" customHeight="1" x14ac:dyDescent="0.35">
      <c r="A732" s="56"/>
      <c r="B732" s="617" t="s">
        <v>227</v>
      </c>
      <c r="C732" s="68" t="s">
        <v>308</v>
      </c>
      <c r="D732" s="55" t="s">
        <v>102</v>
      </c>
      <c r="E732" s="55" t="s">
        <v>50</v>
      </c>
      <c r="F732" s="799" t="s">
        <v>77</v>
      </c>
      <c r="G732" s="800" t="s">
        <v>41</v>
      </c>
      <c r="H732" s="800" t="s">
        <v>42</v>
      </c>
      <c r="I732" s="801" t="s">
        <v>43</v>
      </c>
      <c r="J732" s="55"/>
      <c r="K732" s="69">
        <f t="shared" si="252"/>
        <v>64549.899999999994</v>
      </c>
      <c r="L732" s="69">
        <f t="shared" si="252"/>
        <v>142.9</v>
      </c>
      <c r="M732" s="69">
        <f t="shared" si="252"/>
        <v>64692.799999999996</v>
      </c>
    </row>
    <row r="733" spans="1:14" s="52" customFormat="1" ht="36" customHeight="1" x14ac:dyDescent="0.35">
      <c r="A733" s="56"/>
      <c r="B733" s="610" t="s">
        <v>359</v>
      </c>
      <c r="C733" s="68" t="s">
        <v>308</v>
      </c>
      <c r="D733" s="55" t="s">
        <v>102</v>
      </c>
      <c r="E733" s="55" t="s">
        <v>50</v>
      </c>
      <c r="F733" s="799" t="s">
        <v>77</v>
      </c>
      <c r="G733" s="800" t="s">
        <v>44</v>
      </c>
      <c r="H733" s="800" t="s">
        <v>42</v>
      </c>
      <c r="I733" s="801" t="s">
        <v>43</v>
      </c>
      <c r="J733" s="55"/>
      <c r="K733" s="69">
        <f>K734</f>
        <v>64549.899999999994</v>
      </c>
      <c r="L733" s="69">
        <f t="shared" si="252"/>
        <v>142.9</v>
      </c>
      <c r="M733" s="69">
        <f>M734</f>
        <v>64692.799999999996</v>
      </c>
    </row>
    <row r="734" spans="1:14" s="163" customFormat="1" ht="36" customHeight="1" x14ac:dyDescent="0.35">
      <c r="A734" s="56"/>
      <c r="B734" s="610" t="s">
        <v>299</v>
      </c>
      <c r="C734" s="68" t="s">
        <v>308</v>
      </c>
      <c r="D734" s="55" t="s">
        <v>102</v>
      </c>
      <c r="E734" s="55" t="s">
        <v>50</v>
      </c>
      <c r="F734" s="799" t="s">
        <v>77</v>
      </c>
      <c r="G734" s="800" t="s">
        <v>44</v>
      </c>
      <c r="H734" s="800" t="s">
        <v>36</v>
      </c>
      <c r="I734" s="801" t="s">
        <v>43</v>
      </c>
      <c r="J734" s="55"/>
      <c r="K734" s="69">
        <f>K735+K738+K743+K746</f>
        <v>64549.899999999994</v>
      </c>
      <c r="L734" s="69">
        <f>L735+L738+L743+L746+L741</f>
        <v>142.9</v>
      </c>
      <c r="M734" s="69">
        <f>M735+M738+M743+M746+M741</f>
        <v>64692.799999999996</v>
      </c>
    </row>
    <row r="735" spans="1:14" s="163" customFormat="1" ht="158.25" customHeight="1" x14ac:dyDescent="0.35">
      <c r="A735" s="56"/>
      <c r="B735" s="683" t="s">
        <v>377</v>
      </c>
      <c r="C735" s="68" t="s">
        <v>308</v>
      </c>
      <c r="D735" s="55" t="s">
        <v>102</v>
      </c>
      <c r="E735" s="55" t="s">
        <v>50</v>
      </c>
      <c r="F735" s="799" t="s">
        <v>77</v>
      </c>
      <c r="G735" s="800" t="s">
        <v>44</v>
      </c>
      <c r="H735" s="800" t="s">
        <v>36</v>
      </c>
      <c r="I735" s="801" t="s">
        <v>548</v>
      </c>
      <c r="J735" s="55"/>
      <c r="K735" s="69">
        <f>SUM(K736:K737)</f>
        <v>37320.199999999997</v>
      </c>
      <c r="L735" s="69">
        <f t="shared" ref="L735" si="253">SUM(L736:L737)</f>
        <v>0</v>
      </c>
      <c r="M735" s="69">
        <f>SUM(M736:M737)</f>
        <v>37320.199999999997</v>
      </c>
    </row>
    <row r="736" spans="1:14" s="163" customFormat="1" ht="54" customHeight="1" x14ac:dyDescent="0.35">
      <c r="A736" s="56"/>
      <c r="B736" s="610" t="s">
        <v>53</v>
      </c>
      <c r="C736" s="68" t="s">
        <v>308</v>
      </c>
      <c r="D736" s="55" t="s">
        <v>102</v>
      </c>
      <c r="E736" s="55" t="s">
        <v>50</v>
      </c>
      <c r="F736" s="799" t="s">
        <v>77</v>
      </c>
      <c r="G736" s="800" t="s">
        <v>44</v>
      </c>
      <c r="H736" s="800" t="s">
        <v>36</v>
      </c>
      <c r="I736" s="801" t="s">
        <v>548</v>
      </c>
      <c r="J736" s="55" t="s">
        <v>54</v>
      </c>
      <c r="K736" s="69">
        <v>185.7</v>
      </c>
      <c r="L736" s="69">
        <f>M736-K736</f>
        <v>0</v>
      </c>
      <c r="M736" s="69">
        <v>185.7</v>
      </c>
    </row>
    <row r="737" spans="1:13" s="163" customFormat="1" ht="36" customHeight="1" x14ac:dyDescent="0.35">
      <c r="A737" s="56"/>
      <c r="B737" s="610" t="s">
        <v>118</v>
      </c>
      <c r="C737" s="68" t="s">
        <v>308</v>
      </c>
      <c r="D737" s="55" t="s">
        <v>102</v>
      </c>
      <c r="E737" s="55" t="s">
        <v>50</v>
      </c>
      <c r="F737" s="799" t="s">
        <v>77</v>
      </c>
      <c r="G737" s="800" t="s">
        <v>44</v>
      </c>
      <c r="H737" s="800" t="s">
        <v>36</v>
      </c>
      <c r="I737" s="801" t="s">
        <v>548</v>
      </c>
      <c r="J737" s="55" t="s">
        <v>119</v>
      </c>
      <c r="K737" s="69">
        <v>37134.5</v>
      </c>
      <c r="L737" s="69">
        <f>M737-K737</f>
        <v>0</v>
      </c>
      <c r="M737" s="69">
        <v>37134.5</v>
      </c>
    </row>
    <row r="738" spans="1:13" s="163" customFormat="1" ht="90" customHeight="1" x14ac:dyDescent="0.35">
      <c r="A738" s="56"/>
      <c r="B738" s="610" t="s">
        <v>379</v>
      </c>
      <c r="C738" s="68" t="s">
        <v>308</v>
      </c>
      <c r="D738" s="55" t="s">
        <v>102</v>
      </c>
      <c r="E738" s="55" t="s">
        <v>50</v>
      </c>
      <c r="F738" s="799" t="s">
        <v>77</v>
      </c>
      <c r="G738" s="800" t="s">
        <v>44</v>
      </c>
      <c r="H738" s="800" t="s">
        <v>36</v>
      </c>
      <c r="I738" s="801" t="s">
        <v>550</v>
      </c>
      <c r="J738" s="55"/>
      <c r="K738" s="69">
        <f>SUM(K739:K740)</f>
        <v>188.70000000000002</v>
      </c>
      <c r="L738" s="69">
        <f t="shared" ref="L738" si="254">SUM(L739:L740)</f>
        <v>0</v>
      </c>
      <c r="M738" s="69">
        <f>SUM(M739:M740)</f>
        <v>188.70000000000002</v>
      </c>
    </row>
    <row r="739" spans="1:13" s="163" customFormat="1" ht="54" customHeight="1" x14ac:dyDescent="0.35">
      <c r="A739" s="56"/>
      <c r="B739" s="610" t="s">
        <v>53</v>
      </c>
      <c r="C739" s="68" t="s">
        <v>308</v>
      </c>
      <c r="D739" s="55" t="s">
        <v>102</v>
      </c>
      <c r="E739" s="55" t="s">
        <v>50</v>
      </c>
      <c r="F739" s="799" t="s">
        <v>77</v>
      </c>
      <c r="G739" s="800" t="s">
        <v>44</v>
      </c>
      <c r="H739" s="800" t="s">
        <v>36</v>
      </c>
      <c r="I739" s="801" t="s">
        <v>550</v>
      </c>
      <c r="J739" s="55" t="s">
        <v>54</v>
      </c>
      <c r="K739" s="69">
        <v>0.9</v>
      </c>
      <c r="L739" s="69">
        <f>M739-K739</f>
        <v>0</v>
      </c>
      <c r="M739" s="69">
        <v>0.9</v>
      </c>
    </row>
    <row r="740" spans="1:13" s="163" customFormat="1" ht="36" customHeight="1" x14ac:dyDescent="0.35">
      <c r="A740" s="56"/>
      <c r="B740" s="610" t="s">
        <v>118</v>
      </c>
      <c r="C740" s="68" t="s">
        <v>308</v>
      </c>
      <c r="D740" s="55" t="s">
        <v>102</v>
      </c>
      <c r="E740" s="55" t="s">
        <v>50</v>
      </c>
      <c r="F740" s="799" t="s">
        <v>77</v>
      </c>
      <c r="G740" s="800" t="s">
        <v>44</v>
      </c>
      <c r="H740" s="800" t="s">
        <v>36</v>
      </c>
      <c r="I740" s="801" t="s">
        <v>550</v>
      </c>
      <c r="J740" s="55" t="s">
        <v>119</v>
      </c>
      <c r="K740" s="69">
        <v>187.8</v>
      </c>
      <c r="L740" s="69">
        <f>M740-K740</f>
        <v>0</v>
      </c>
      <c r="M740" s="69">
        <v>187.8</v>
      </c>
    </row>
    <row r="741" spans="1:13" s="163" customFormat="1" ht="144" x14ac:dyDescent="0.35">
      <c r="A741" s="56"/>
      <c r="B741" s="610" t="s">
        <v>736</v>
      </c>
      <c r="C741" s="68" t="s">
        <v>308</v>
      </c>
      <c r="D741" s="55" t="s">
        <v>102</v>
      </c>
      <c r="E741" s="55" t="s">
        <v>50</v>
      </c>
      <c r="F741" s="799" t="s">
        <v>77</v>
      </c>
      <c r="G741" s="800" t="s">
        <v>44</v>
      </c>
      <c r="H741" s="800" t="s">
        <v>36</v>
      </c>
      <c r="I741" s="801" t="s">
        <v>735</v>
      </c>
      <c r="J741" s="55"/>
      <c r="K741" s="69"/>
      <c r="L741" s="69">
        <f>L742</f>
        <v>142.9</v>
      </c>
      <c r="M741" s="69">
        <f>M742</f>
        <v>142.9</v>
      </c>
    </row>
    <row r="742" spans="1:13" s="163" customFormat="1" ht="36" customHeight="1" x14ac:dyDescent="0.35">
      <c r="A742" s="56"/>
      <c r="B742" s="610" t="s">
        <v>118</v>
      </c>
      <c r="C742" s="68" t="s">
        <v>308</v>
      </c>
      <c r="D742" s="55" t="s">
        <v>102</v>
      </c>
      <c r="E742" s="55" t="s">
        <v>50</v>
      </c>
      <c r="F742" s="799" t="s">
        <v>77</v>
      </c>
      <c r="G742" s="800" t="s">
        <v>44</v>
      </c>
      <c r="H742" s="800" t="s">
        <v>36</v>
      </c>
      <c r="I742" s="801" t="s">
        <v>735</v>
      </c>
      <c r="J742" s="55" t="s">
        <v>119</v>
      </c>
      <c r="K742" s="69"/>
      <c r="L742" s="69">
        <f>M742-K742</f>
        <v>142.9</v>
      </c>
      <c r="M742" s="69">
        <v>142.9</v>
      </c>
    </row>
    <row r="743" spans="1:13" s="163" customFormat="1" ht="90" customHeight="1" x14ac:dyDescent="0.35">
      <c r="A743" s="56"/>
      <c r="B743" s="610" t="s">
        <v>378</v>
      </c>
      <c r="C743" s="68" t="s">
        <v>308</v>
      </c>
      <c r="D743" s="55" t="s">
        <v>102</v>
      </c>
      <c r="E743" s="55" t="s">
        <v>50</v>
      </c>
      <c r="F743" s="799" t="s">
        <v>77</v>
      </c>
      <c r="G743" s="800" t="s">
        <v>44</v>
      </c>
      <c r="H743" s="800" t="s">
        <v>36</v>
      </c>
      <c r="I743" s="801" t="s">
        <v>549</v>
      </c>
      <c r="J743" s="55"/>
      <c r="K743" s="69">
        <f>SUM(K744:K745)</f>
        <v>26856.5</v>
      </c>
      <c r="L743" s="69">
        <f t="shared" ref="L743" si="255">SUM(L744:L745)</f>
        <v>0</v>
      </c>
      <c r="M743" s="69">
        <f>SUM(M744:M745)</f>
        <v>26856.5</v>
      </c>
    </row>
    <row r="744" spans="1:13" s="163" customFormat="1" ht="54" customHeight="1" x14ac:dyDescent="0.35">
      <c r="A744" s="56"/>
      <c r="B744" s="610" t="s">
        <v>53</v>
      </c>
      <c r="C744" s="68" t="s">
        <v>308</v>
      </c>
      <c r="D744" s="55" t="s">
        <v>102</v>
      </c>
      <c r="E744" s="55" t="s">
        <v>50</v>
      </c>
      <c r="F744" s="799" t="s">
        <v>77</v>
      </c>
      <c r="G744" s="800" t="s">
        <v>44</v>
      </c>
      <c r="H744" s="800" t="s">
        <v>36</v>
      </c>
      <c r="I744" s="801" t="s">
        <v>549</v>
      </c>
      <c r="J744" s="55" t="s">
        <v>54</v>
      </c>
      <c r="K744" s="69">
        <v>134.30000000000001</v>
      </c>
      <c r="L744" s="69">
        <f>M744-K744</f>
        <v>0</v>
      </c>
      <c r="M744" s="69">
        <v>134.30000000000001</v>
      </c>
    </row>
    <row r="745" spans="1:13" s="163" customFormat="1" ht="36" customHeight="1" x14ac:dyDescent="0.35">
      <c r="A745" s="56"/>
      <c r="B745" s="610" t="s">
        <v>118</v>
      </c>
      <c r="C745" s="68" t="s">
        <v>308</v>
      </c>
      <c r="D745" s="55" t="s">
        <v>102</v>
      </c>
      <c r="E745" s="55" t="s">
        <v>50</v>
      </c>
      <c r="F745" s="799" t="s">
        <v>77</v>
      </c>
      <c r="G745" s="800" t="s">
        <v>44</v>
      </c>
      <c r="H745" s="800" t="s">
        <v>36</v>
      </c>
      <c r="I745" s="801" t="s">
        <v>549</v>
      </c>
      <c r="J745" s="55" t="s">
        <v>119</v>
      </c>
      <c r="K745" s="69">
        <v>26722.2</v>
      </c>
      <c r="L745" s="69">
        <f>M745-K745</f>
        <v>0</v>
      </c>
      <c r="M745" s="69">
        <v>26722.2</v>
      </c>
    </row>
    <row r="746" spans="1:13" s="163" customFormat="1" ht="108" customHeight="1" x14ac:dyDescent="0.35">
      <c r="A746" s="56"/>
      <c r="B746" s="610" t="s">
        <v>385</v>
      </c>
      <c r="C746" s="68" t="s">
        <v>308</v>
      </c>
      <c r="D746" s="55" t="s">
        <v>102</v>
      </c>
      <c r="E746" s="55" t="s">
        <v>50</v>
      </c>
      <c r="F746" s="799" t="s">
        <v>77</v>
      </c>
      <c r="G746" s="800" t="s">
        <v>44</v>
      </c>
      <c r="H746" s="800" t="s">
        <v>36</v>
      </c>
      <c r="I746" s="801" t="s">
        <v>551</v>
      </c>
      <c r="J746" s="55"/>
      <c r="K746" s="69">
        <f>SUM(K747:K748)</f>
        <v>184.5</v>
      </c>
      <c r="L746" s="69">
        <f t="shared" ref="L746" si="256">SUM(L747:L748)</f>
        <v>0</v>
      </c>
      <c r="M746" s="69">
        <f>SUM(M747:M748)</f>
        <v>184.5</v>
      </c>
    </row>
    <row r="747" spans="1:13" s="163" customFormat="1" ht="54" customHeight="1" x14ac:dyDescent="0.35">
      <c r="A747" s="56"/>
      <c r="B747" s="610" t="s">
        <v>53</v>
      </c>
      <c r="C747" s="68" t="s">
        <v>308</v>
      </c>
      <c r="D747" s="55" t="s">
        <v>102</v>
      </c>
      <c r="E747" s="55" t="s">
        <v>50</v>
      </c>
      <c r="F747" s="799" t="s">
        <v>77</v>
      </c>
      <c r="G747" s="800" t="s">
        <v>44</v>
      </c>
      <c r="H747" s="800" t="s">
        <v>36</v>
      </c>
      <c r="I747" s="801" t="s">
        <v>551</v>
      </c>
      <c r="J747" s="55" t="s">
        <v>54</v>
      </c>
      <c r="K747" s="69">
        <v>0.9</v>
      </c>
      <c r="L747" s="69">
        <f>M747-K747</f>
        <v>0</v>
      </c>
      <c r="M747" s="69">
        <v>0.9</v>
      </c>
    </row>
    <row r="748" spans="1:13" s="163" customFormat="1" ht="36" customHeight="1" x14ac:dyDescent="0.35">
      <c r="A748" s="56"/>
      <c r="B748" s="610" t="s">
        <v>118</v>
      </c>
      <c r="C748" s="68" t="s">
        <v>308</v>
      </c>
      <c r="D748" s="55" t="s">
        <v>102</v>
      </c>
      <c r="E748" s="55" t="s">
        <v>50</v>
      </c>
      <c r="F748" s="799" t="s">
        <v>77</v>
      </c>
      <c r="G748" s="800" t="s">
        <v>44</v>
      </c>
      <c r="H748" s="800" t="s">
        <v>36</v>
      </c>
      <c r="I748" s="801" t="s">
        <v>551</v>
      </c>
      <c r="J748" s="55" t="s">
        <v>119</v>
      </c>
      <c r="K748" s="69">
        <v>183.6</v>
      </c>
      <c r="L748" s="69">
        <f>M748-K748</f>
        <v>0</v>
      </c>
      <c r="M748" s="69">
        <v>183.6</v>
      </c>
    </row>
    <row r="749" spans="1:13" s="52" customFormat="1" ht="36" customHeight="1" x14ac:dyDescent="0.35">
      <c r="A749" s="56"/>
      <c r="B749" s="610" t="s">
        <v>310</v>
      </c>
      <c r="C749" s="68" t="s">
        <v>308</v>
      </c>
      <c r="D749" s="55" t="s">
        <v>102</v>
      </c>
      <c r="E749" s="55" t="s">
        <v>79</v>
      </c>
      <c r="F749" s="799"/>
      <c r="G749" s="800"/>
      <c r="H749" s="800"/>
      <c r="I749" s="801"/>
      <c r="J749" s="55"/>
      <c r="K749" s="69">
        <f>K750</f>
        <v>9013.2999999999993</v>
      </c>
      <c r="L749" s="69">
        <f t="shared" ref="L749" si="257">L750</f>
        <v>0</v>
      </c>
      <c r="M749" s="69">
        <f>M750</f>
        <v>9013.2999999999993</v>
      </c>
    </row>
    <row r="750" spans="1:13" s="52" customFormat="1" ht="54" customHeight="1" x14ac:dyDescent="0.35">
      <c r="A750" s="56"/>
      <c r="B750" s="617" t="s">
        <v>227</v>
      </c>
      <c r="C750" s="68" t="s">
        <v>308</v>
      </c>
      <c r="D750" s="55" t="s">
        <v>102</v>
      </c>
      <c r="E750" s="55" t="s">
        <v>79</v>
      </c>
      <c r="F750" s="799" t="s">
        <v>77</v>
      </c>
      <c r="G750" s="800" t="s">
        <v>41</v>
      </c>
      <c r="H750" s="800" t="s">
        <v>42</v>
      </c>
      <c r="I750" s="801" t="s">
        <v>43</v>
      </c>
      <c r="J750" s="55"/>
      <c r="K750" s="69">
        <f t="shared" ref="K750:M751" si="258">K751</f>
        <v>9013.2999999999993</v>
      </c>
      <c r="L750" s="69">
        <f t="shared" si="258"/>
        <v>0</v>
      </c>
      <c r="M750" s="69">
        <f t="shared" si="258"/>
        <v>9013.2999999999993</v>
      </c>
    </row>
    <row r="751" spans="1:13" s="52" customFormat="1" ht="36" customHeight="1" x14ac:dyDescent="0.35">
      <c r="A751" s="56"/>
      <c r="B751" s="610" t="s">
        <v>359</v>
      </c>
      <c r="C751" s="68" t="s">
        <v>308</v>
      </c>
      <c r="D751" s="55" t="s">
        <v>102</v>
      </c>
      <c r="E751" s="55" t="s">
        <v>79</v>
      </c>
      <c r="F751" s="799" t="s">
        <v>77</v>
      </c>
      <c r="G751" s="800" t="s">
        <v>44</v>
      </c>
      <c r="H751" s="800" t="s">
        <v>42</v>
      </c>
      <c r="I751" s="801" t="s">
        <v>43</v>
      </c>
      <c r="J751" s="55"/>
      <c r="K751" s="69">
        <f t="shared" si="258"/>
        <v>9013.2999999999993</v>
      </c>
      <c r="L751" s="69">
        <f t="shared" si="258"/>
        <v>0</v>
      </c>
      <c r="M751" s="69">
        <f t="shared" si="258"/>
        <v>9013.2999999999993</v>
      </c>
    </row>
    <row r="752" spans="1:13" s="163" customFormat="1" ht="36" customHeight="1" x14ac:dyDescent="0.35">
      <c r="A752" s="56"/>
      <c r="B752" s="610" t="s">
        <v>226</v>
      </c>
      <c r="C752" s="68" t="s">
        <v>308</v>
      </c>
      <c r="D752" s="55" t="s">
        <v>102</v>
      </c>
      <c r="E752" s="55" t="s">
        <v>79</v>
      </c>
      <c r="F752" s="799" t="s">
        <v>77</v>
      </c>
      <c r="G752" s="800" t="s">
        <v>44</v>
      </c>
      <c r="H752" s="800" t="s">
        <v>61</v>
      </c>
      <c r="I752" s="801" t="s">
        <v>43</v>
      </c>
      <c r="J752" s="55"/>
      <c r="K752" s="69">
        <f>K753+K756+K759</f>
        <v>9013.2999999999993</v>
      </c>
      <c r="L752" s="69">
        <f t="shared" ref="L752" si="259">L753+L756+L759</f>
        <v>0</v>
      </c>
      <c r="M752" s="69">
        <f>M753+M756+M759</f>
        <v>9013.2999999999993</v>
      </c>
    </row>
    <row r="753" spans="1:13" s="163" customFormat="1" ht="272.25" customHeight="1" x14ac:dyDescent="0.35">
      <c r="A753" s="56"/>
      <c r="B753" s="684" t="s">
        <v>229</v>
      </c>
      <c r="C753" s="68" t="s">
        <v>308</v>
      </c>
      <c r="D753" s="55" t="s">
        <v>102</v>
      </c>
      <c r="E753" s="55" t="s">
        <v>79</v>
      </c>
      <c r="F753" s="799" t="s">
        <v>77</v>
      </c>
      <c r="G753" s="800" t="s">
        <v>44</v>
      </c>
      <c r="H753" s="800" t="s">
        <v>61</v>
      </c>
      <c r="I753" s="801" t="s">
        <v>552</v>
      </c>
      <c r="J753" s="55"/>
      <c r="K753" s="69">
        <f>K754+K755</f>
        <v>1025.8</v>
      </c>
      <c r="L753" s="69">
        <f t="shared" ref="L753" si="260">L754+L755</f>
        <v>0</v>
      </c>
      <c r="M753" s="69">
        <f>M754+M755</f>
        <v>1025.8</v>
      </c>
    </row>
    <row r="754" spans="1:13" s="163" customFormat="1" ht="108" customHeight="1" x14ac:dyDescent="0.35">
      <c r="A754" s="56"/>
      <c r="B754" s="610" t="s">
        <v>48</v>
      </c>
      <c r="C754" s="68" t="s">
        <v>308</v>
      </c>
      <c r="D754" s="55" t="s">
        <v>102</v>
      </c>
      <c r="E754" s="55" t="s">
        <v>79</v>
      </c>
      <c r="F754" s="799" t="s">
        <v>77</v>
      </c>
      <c r="G754" s="800" t="s">
        <v>44</v>
      </c>
      <c r="H754" s="800" t="s">
        <v>61</v>
      </c>
      <c r="I754" s="801" t="s">
        <v>552</v>
      </c>
      <c r="J754" s="55" t="s">
        <v>49</v>
      </c>
      <c r="K754" s="69">
        <v>863.8</v>
      </c>
      <c r="L754" s="69">
        <f>M754-K754</f>
        <v>0</v>
      </c>
      <c r="M754" s="69">
        <v>863.8</v>
      </c>
    </row>
    <row r="755" spans="1:13" s="163" customFormat="1" ht="54" customHeight="1" x14ac:dyDescent="0.35">
      <c r="A755" s="56"/>
      <c r="B755" s="610" t="s">
        <v>53</v>
      </c>
      <c r="C755" s="68" t="s">
        <v>308</v>
      </c>
      <c r="D755" s="55" t="s">
        <v>102</v>
      </c>
      <c r="E755" s="55" t="s">
        <v>79</v>
      </c>
      <c r="F755" s="799" t="s">
        <v>77</v>
      </c>
      <c r="G755" s="800" t="s">
        <v>44</v>
      </c>
      <c r="H755" s="800" t="s">
        <v>61</v>
      </c>
      <c r="I755" s="801" t="s">
        <v>552</v>
      </c>
      <c r="J755" s="55" t="s">
        <v>54</v>
      </c>
      <c r="K755" s="69">
        <v>162</v>
      </c>
      <c r="L755" s="69">
        <f>M755-K755</f>
        <v>0</v>
      </c>
      <c r="M755" s="69">
        <v>162</v>
      </c>
    </row>
    <row r="756" spans="1:13" s="163" customFormat="1" ht="108" customHeight="1" x14ac:dyDescent="0.35">
      <c r="A756" s="56"/>
      <c r="B756" s="610" t="s">
        <v>479</v>
      </c>
      <c r="C756" s="68" t="s">
        <v>308</v>
      </c>
      <c r="D756" s="55" t="s">
        <v>102</v>
      </c>
      <c r="E756" s="55" t="s">
        <v>79</v>
      </c>
      <c r="F756" s="799" t="s">
        <v>77</v>
      </c>
      <c r="G756" s="800" t="s">
        <v>44</v>
      </c>
      <c r="H756" s="800" t="s">
        <v>61</v>
      </c>
      <c r="I756" s="801" t="s">
        <v>546</v>
      </c>
      <c r="J756" s="55"/>
      <c r="K756" s="69">
        <f>K757+K758</f>
        <v>756</v>
      </c>
      <c r="L756" s="69">
        <f t="shared" ref="L756" si="261">L757+L758</f>
        <v>0</v>
      </c>
      <c r="M756" s="69">
        <f>M757+M758</f>
        <v>756</v>
      </c>
    </row>
    <row r="757" spans="1:13" s="163" customFormat="1" ht="108" customHeight="1" x14ac:dyDescent="0.35">
      <c r="A757" s="56"/>
      <c r="B757" s="610" t="s">
        <v>48</v>
      </c>
      <c r="C757" s="68" t="s">
        <v>308</v>
      </c>
      <c r="D757" s="55" t="s">
        <v>102</v>
      </c>
      <c r="E757" s="55" t="s">
        <v>79</v>
      </c>
      <c r="F757" s="799" t="s">
        <v>77</v>
      </c>
      <c r="G757" s="800" t="s">
        <v>44</v>
      </c>
      <c r="H757" s="800" t="s">
        <v>61</v>
      </c>
      <c r="I757" s="801" t="s">
        <v>546</v>
      </c>
      <c r="J757" s="55" t="s">
        <v>49</v>
      </c>
      <c r="K757" s="69">
        <v>675</v>
      </c>
      <c r="L757" s="69">
        <f>M757-K757</f>
        <v>0</v>
      </c>
      <c r="M757" s="69">
        <v>675</v>
      </c>
    </row>
    <row r="758" spans="1:13" s="163" customFormat="1" ht="54" customHeight="1" x14ac:dyDescent="0.35">
      <c r="A758" s="56"/>
      <c r="B758" s="610" t="s">
        <v>53</v>
      </c>
      <c r="C758" s="68" t="s">
        <v>308</v>
      </c>
      <c r="D758" s="55" t="s">
        <v>102</v>
      </c>
      <c r="E758" s="55" t="s">
        <v>79</v>
      </c>
      <c r="F758" s="799" t="s">
        <v>77</v>
      </c>
      <c r="G758" s="800" t="s">
        <v>44</v>
      </c>
      <c r="H758" s="800" t="s">
        <v>61</v>
      </c>
      <c r="I758" s="801" t="s">
        <v>546</v>
      </c>
      <c r="J758" s="55" t="s">
        <v>54</v>
      </c>
      <c r="K758" s="69">
        <v>81</v>
      </c>
      <c r="L758" s="69">
        <f>M758-K758</f>
        <v>0</v>
      </c>
      <c r="M758" s="69">
        <v>81</v>
      </c>
    </row>
    <row r="759" spans="1:13" s="163" customFormat="1" ht="72" customHeight="1" x14ac:dyDescent="0.35">
      <c r="A759" s="56"/>
      <c r="B759" s="610" t="s">
        <v>228</v>
      </c>
      <c r="C759" s="68" t="s">
        <v>308</v>
      </c>
      <c r="D759" s="55" t="s">
        <v>102</v>
      </c>
      <c r="E759" s="55" t="s">
        <v>79</v>
      </c>
      <c r="F759" s="799" t="s">
        <v>77</v>
      </c>
      <c r="G759" s="800" t="s">
        <v>44</v>
      </c>
      <c r="H759" s="800" t="s">
        <v>61</v>
      </c>
      <c r="I759" s="801" t="s">
        <v>547</v>
      </c>
      <c r="J759" s="55"/>
      <c r="K759" s="69">
        <f>K760+K761</f>
        <v>7231.5</v>
      </c>
      <c r="L759" s="69">
        <f t="shared" ref="L759" si="262">L760+L761</f>
        <v>0</v>
      </c>
      <c r="M759" s="69">
        <f>M760+M761</f>
        <v>7231.5</v>
      </c>
    </row>
    <row r="760" spans="1:13" s="163" customFormat="1" ht="108" customHeight="1" x14ac:dyDescent="0.35">
      <c r="A760" s="56"/>
      <c r="B760" s="610" t="s">
        <v>48</v>
      </c>
      <c r="C760" s="68" t="s">
        <v>308</v>
      </c>
      <c r="D760" s="55" t="s">
        <v>102</v>
      </c>
      <c r="E760" s="55" t="s">
        <v>79</v>
      </c>
      <c r="F760" s="799" t="s">
        <v>77</v>
      </c>
      <c r="G760" s="800" t="s">
        <v>44</v>
      </c>
      <c r="H760" s="800" t="s">
        <v>61</v>
      </c>
      <c r="I760" s="801" t="s">
        <v>547</v>
      </c>
      <c r="J760" s="55" t="s">
        <v>49</v>
      </c>
      <c r="K760" s="69">
        <v>6502.5</v>
      </c>
      <c r="L760" s="69">
        <f>M760-K760</f>
        <v>0</v>
      </c>
      <c r="M760" s="69">
        <v>6502.5</v>
      </c>
    </row>
    <row r="761" spans="1:13" s="163" customFormat="1" ht="54" customHeight="1" x14ac:dyDescent="0.35">
      <c r="A761" s="56"/>
      <c r="B761" s="610" t="s">
        <v>53</v>
      </c>
      <c r="C761" s="68" t="s">
        <v>308</v>
      </c>
      <c r="D761" s="55" t="s">
        <v>102</v>
      </c>
      <c r="E761" s="55" t="s">
        <v>79</v>
      </c>
      <c r="F761" s="799" t="s">
        <v>77</v>
      </c>
      <c r="G761" s="800" t="s">
        <v>44</v>
      </c>
      <c r="H761" s="800" t="s">
        <v>61</v>
      </c>
      <c r="I761" s="801" t="s">
        <v>547</v>
      </c>
      <c r="J761" s="55" t="s">
        <v>54</v>
      </c>
      <c r="K761" s="69">
        <v>729</v>
      </c>
      <c r="L761" s="69">
        <f>M761-K761</f>
        <v>0</v>
      </c>
      <c r="M761" s="69">
        <v>729</v>
      </c>
    </row>
    <row r="762" spans="1:13" s="163" customFormat="1" ht="18" customHeight="1" x14ac:dyDescent="0.35">
      <c r="A762" s="228"/>
      <c r="B762" s="603"/>
      <c r="C762" s="229"/>
      <c r="D762" s="154"/>
      <c r="E762" s="154"/>
      <c r="F762" s="154"/>
      <c r="G762" s="154"/>
      <c r="H762" s="154"/>
      <c r="I762" s="154"/>
      <c r="J762" s="154"/>
      <c r="K762" s="230"/>
      <c r="L762" s="230"/>
      <c r="M762" s="230"/>
    </row>
    <row r="763" spans="1:13" s="163" customFormat="1" ht="18" customHeight="1" x14ac:dyDescent="0.35">
      <c r="A763" s="228"/>
      <c r="B763" s="603"/>
      <c r="C763" s="229"/>
      <c r="D763" s="154"/>
      <c r="E763" s="154"/>
      <c r="F763" s="154"/>
      <c r="G763" s="154"/>
      <c r="H763" s="154"/>
      <c r="I763" s="154"/>
      <c r="J763" s="154"/>
      <c r="K763" s="230"/>
      <c r="L763" s="230"/>
      <c r="M763" s="230"/>
    </row>
    <row r="764" spans="1:13" s="125" customFormat="1" ht="18.75" customHeight="1" x14ac:dyDescent="0.35">
      <c r="A764" s="545" t="s">
        <v>396</v>
      </c>
      <c r="B764" s="126"/>
      <c r="C764" s="127"/>
      <c r="D764" s="127"/>
      <c r="E764" s="127"/>
      <c r="F764" s="87"/>
      <c r="G764" s="155"/>
      <c r="H764" s="196"/>
      <c r="M764" s="571"/>
    </row>
    <row r="765" spans="1:13" s="125" customFormat="1" ht="18.75" customHeight="1" x14ac:dyDescent="0.35">
      <c r="A765" s="545" t="s">
        <v>397</v>
      </c>
      <c r="B765" s="126"/>
      <c r="C765" s="127"/>
      <c r="D765" s="127"/>
      <c r="E765" s="127"/>
      <c r="F765" s="87"/>
      <c r="G765" s="155"/>
      <c r="H765" s="196"/>
      <c r="M765" s="571"/>
    </row>
    <row r="766" spans="1:13" s="125" customFormat="1" ht="18.75" customHeight="1" x14ac:dyDescent="0.35">
      <c r="A766" s="735" t="s">
        <v>398</v>
      </c>
      <c r="B766" s="126"/>
      <c r="E766" s="127"/>
      <c r="F766" s="87"/>
      <c r="K766" s="125" t="s">
        <v>409</v>
      </c>
      <c r="M766" s="738" t="s">
        <v>409</v>
      </c>
    </row>
    <row r="767" spans="1:13" s="231" customFormat="1" ht="18" customHeight="1" x14ac:dyDescent="0.35">
      <c r="A767" s="735"/>
      <c r="B767" s="603"/>
      <c r="C767" s="229"/>
      <c r="D767" s="154"/>
      <c r="E767" s="154"/>
      <c r="F767" s="154"/>
      <c r="G767" s="154"/>
      <c r="H767" s="154"/>
      <c r="I767" s="154"/>
      <c r="J767" s="154"/>
      <c r="K767" s="230"/>
      <c r="L767" s="230"/>
      <c r="M767" s="230"/>
    </row>
    <row r="768" spans="1:13" s="231" customFormat="1" ht="18" customHeight="1" x14ac:dyDescent="0.35">
      <c r="A768" s="228"/>
      <c r="B768" s="603"/>
      <c r="C768" s="229"/>
      <c r="D768" s="154"/>
      <c r="E768" s="154"/>
      <c r="F768" s="154"/>
      <c r="G768" s="154"/>
      <c r="H768" s="154"/>
      <c r="I768" s="154"/>
      <c r="J768" s="154"/>
      <c r="K768" s="230"/>
      <c r="L768" s="230"/>
      <c r="M768" s="230"/>
    </row>
    <row r="769" spans="1:14" s="231" customFormat="1" ht="18" customHeight="1" x14ac:dyDescent="0.35">
      <c r="A769" s="228"/>
      <c r="B769" s="603"/>
      <c r="C769" s="229"/>
      <c r="D769" s="154"/>
      <c r="E769" s="154"/>
      <c r="F769" s="154"/>
      <c r="G769" s="154"/>
      <c r="H769" s="154"/>
      <c r="I769" s="154"/>
      <c r="J769" s="154"/>
      <c r="K769" s="230"/>
      <c r="L769" s="230"/>
      <c r="M769" s="230"/>
    </row>
    <row r="770" spans="1:14" s="231" customFormat="1" ht="18" hidden="1" customHeight="1" x14ac:dyDescent="0.35">
      <c r="A770" s="228"/>
      <c r="B770" s="603"/>
      <c r="C770" s="229"/>
      <c r="D770" s="73" t="s">
        <v>36</v>
      </c>
      <c r="E770" s="73" t="s">
        <v>38</v>
      </c>
      <c r="F770" s="74"/>
      <c r="G770" s="74"/>
      <c r="H770" s="74"/>
      <c r="I770" s="74"/>
      <c r="J770" s="74"/>
      <c r="K770" s="199">
        <f>K14</f>
        <v>2638.4</v>
      </c>
      <c r="L770" s="199">
        <f>L14</f>
        <v>0</v>
      </c>
      <c r="M770" s="199">
        <f>M14</f>
        <v>2638.4</v>
      </c>
      <c r="N770" s="232"/>
    </row>
    <row r="771" spans="1:14" s="231" customFormat="1" ht="18" hidden="1" customHeight="1" x14ac:dyDescent="0.35">
      <c r="A771" s="228"/>
      <c r="B771" s="603"/>
      <c r="C771" s="229"/>
      <c r="D771" s="73" t="s">
        <v>36</v>
      </c>
      <c r="E771" s="73" t="s">
        <v>50</v>
      </c>
      <c r="F771" s="74"/>
      <c r="G771" s="74"/>
      <c r="H771" s="74"/>
      <c r="I771" s="74"/>
      <c r="J771" s="74"/>
      <c r="K771" s="199">
        <f>K20</f>
        <v>85082.373999999996</v>
      </c>
      <c r="L771" s="199">
        <f>L20</f>
        <v>235.89999999999418</v>
      </c>
      <c r="M771" s="199">
        <f>M20</f>
        <v>85318.27399999999</v>
      </c>
      <c r="N771" s="232"/>
    </row>
    <row r="772" spans="1:14" s="231" customFormat="1" ht="18" hidden="1" customHeight="1" x14ac:dyDescent="0.35">
      <c r="A772" s="228"/>
      <c r="B772" s="603"/>
      <c r="C772" s="229"/>
      <c r="D772" s="73" t="s">
        <v>36</v>
      </c>
      <c r="E772" s="73" t="s">
        <v>63</v>
      </c>
      <c r="F772" s="74"/>
      <c r="G772" s="74"/>
      <c r="H772" s="74"/>
      <c r="I772" s="74"/>
      <c r="J772" s="74"/>
      <c r="K772" s="199">
        <f>K41</f>
        <v>8.6</v>
      </c>
      <c r="L772" s="199">
        <f>L41</f>
        <v>0</v>
      </c>
      <c r="M772" s="199">
        <f>M41</f>
        <v>8.6</v>
      </c>
      <c r="N772" s="232"/>
    </row>
    <row r="773" spans="1:14" s="231" customFormat="1" ht="18" hidden="1" customHeight="1" x14ac:dyDescent="0.35">
      <c r="A773" s="228"/>
      <c r="B773" s="603"/>
      <c r="C773" s="229"/>
      <c r="D773" s="73" t="s">
        <v>36</v>
      </c>
      <c r="E773" s="73" t="s">
        <v>79</v>
      </c>
      <c r="F773" s="74"/>
      <c r="G773" s="74"/>
      <c r="H773" s="74"/>
      <c r="I773" s="74"/>
      <c r="J773" s="74"/>
      <c r="K773" s="199">
        <f>K218+K264</f>
        <v>39489.199999999997</v>
      </c>
      <c r="L773" s="199">
        <f>L218+L264</f>
        <v>0</v>
      </c>
      <c r="M773" s="199">
        <f>M218+M264</f>
        <v>39489.199999999997</v>
      </c>
      <c r="N773" s="232"/>
    </row>
    <row r="774" spans="1:14" s="231" customFormat="1" ht="18" hidden="1" customHeight="1" x14ac:dyDescent="0.35">
      <c r="A774" s="228"/>
      <c r="B774" s="603"/>
      <c r="C774" s="229"/>
      <c r="D774" s="73" t="s">
        <v>36</v>
      </c>
      <c r="E774" s="73" t="s">
        <v>65</v>
      </c>
      <c r="F774" s="74"/>
      <c r="G774" s="74"/>
      <c r="H774" s="74"/>
      <c r="I774" s="74"/>
      <c r="J774" s="74"/>
      <c r="K774" s="199">
        <f>K47</f>
        <v>21322.409049999995</v>
      </c>
      <c r="L774" s="199">
        <f>L47</f>
        <v>-972.59999999999854</v>
      </c>
      <c r="M774" s="199">
        <f>M47</f>
        <v>20349.809049999996</v>
      </c>
      <c r="N774" s="232"/>
    </row>
    <row r="775" spans="1:14" s="231" customFormat="1" ht="18" hidden="1" customHeight="1" x14ac:dyDescent="0.35">
      <c r="A775" s="228"/>
      <c r="B775" s="603"/>
      <c r="C775" s="229"/>
      <c r="D775" s="73" t="s">
        <v>36</v>
      </c>
      <c r="E775" s="73" t="s">
        <v>69</v>
      </c>
      <c r="F775" s="74"/>
      <c r="G775" s="74"/>
      <c r="H775" s="74"/>
      <c r="I775" s="74"/>
      <c r="J775" s="74"/>
      <c r="K775" s="199">
        <f>K52+K229+K282+K694+K555+K636+K385</f>
        <v>109349.90672999999</v>
      </c>
      <c r="L775" s="199">
        <f>L52+L229+L282+L694+L555+L636+L385</f>
        <v>9870.0566400000025</v>
      </c>
      <c r="M775" s="199">
        <f>M52+M229+M282+M694+M555+M636+M385</f>
        <v>119219.96336999998</v>
      </c>
      <c r="N775" s="232"/>
    </row>
    <row r="776" spans="1:14" ht="18" hidden="1" customHeight="1" x14ac:dyDescent="0.35">
      <c r="D776" s="200" t="s">
        <v>36</v>
      </c>
      <c r="E776" s="200" t="s">
        <v>42</v>
      </c>
      <c r="F776" s="74"/>
      <c r="G776" s="74"/>
      <c r="H776" s="74"/>
      <c r="I776" s="74"/>
      <c r="J776" s="74"/>
      <c r="K776" s="201">
        <f t="shared" ref="K776:L776" si="263">SUBTOTAL(9,K770:K775)</f>
        <v>257890.88977999997</v>
      </c>
      <c r="L776" s="201">
        <f t="shared" si="263"/>
        <v>9133.3566399999982</v>
      </c>
      <c r="M776" s="201">
        <f>SUBTOTAL(9,M770:M775)</f>
        <v>267024.24641999998</v>
      </c>
      <c r="N776" s="233"/>
    </row>
    <row r="777" spans="1:14" ht="18" hidden="1" customHeight="1" x14ac:dyDescent="0.35">
      <c r="D777" s="73"/>
      <c r="E777" s="73"/>
      <c r="F777" s="74"/>
      <c r="G777" s="74"/>
      <c r="H777" s="74"/>
      <c r="I777" s="74"/>
      <c r="J777" s="74"/>
      <c r="K777" s="199"/>
      <c r="L777" s="199"/>
      <c r="M777" s="199"/>
      <c r="N777" s="232"/>
    </row>
    <row r="778" spans="1:14" ht="18" hidden="1" customHeight="1" x14ac:dyDescent="0.35">
      <c r="D778" s="73" t="s">
        <v>61</v>
      </c>
      <c r="E778" s="73" t="s">
        <v>102</v>
      </c>
      <c r="F778" s="74"/>
      <c r="G778" s="74"/>
      <c r="H778" s="74"/>
      <c r="I778" s="74"/>
      <c r="J778" s="74"/>
      <c r="K778" s="199">
        <f>K92</f>
        <v>11531.6</v>
      </c>
      <c r="L778" s="199">
        <f>L92</f>
        <v>0</v>
      </c>
      <c r="M778" s="199">
        <f>M92</f>
        <v>11531.6</v>
      </c>
      <c r="N778" s="232"/>
    </row>
    <row r="779" spans="1:14" ht="18" hidden="1" customHeight="1" x14ac:dyDescent="0.35">
      <c r="D779" s="73" t="s">
        <v>61</v>
      </c>
      <c r="E779" s="73" t="s">
        <v>86</v>
      </c>
      <c r="F779" s="74"/>
      <c r="G779" s="74"/>
      <c r="H779" s="74"/>
      <c r="I779" s="74"/>
      <c r="J779" s="74"/>
      <c r="K779" s="199">
        <f>K104</f>
        <v>14101.23913</v>
      </c>
      <c r="L779" s="199">
        <f>L104</f>
        <v>0</v>
      </c>
      <c r="M779" s="199">
        <f>M104</f>
        <v>14101.23913</v>
      </c>
      <c r="N779" s="232"/>
    </row>
    <row r="780" spans="1:14" ht="18" hidden="1" customHeight="1" x14ac:dyDescent="0.35">
      <c r="D780" s="200" t="s">
        <v>61</v>
      </c>
      <c r="E780" s="200" t="s">
        <v>42</v>
      </c>
      <c r="F780" s="74"/>
      <c r="G780" s="74"/>
      <c r="H780" s="74"/>
      <c r="I780" s="74"/>
      <c r="J780" s="74"/>
      <c r="K780" s="201">
        <f t="shared" ref="K780:L780" si="264">SUBTOTAL(9,K778:K779)</f>
        <v>25632.83913</v>
      </c>
      <c r="L780" s="201">
        <f t="shared" si="264"/>
        <v>0</v>
      </c>
      <c r="M780" s="201">
        <f>SUBTOTAL(9,M778:M779)</f>
        <v>25632.83913</v>
      </c>
      <c r="N780" s="233"/>
    </row>
    <row r="781" spans="1:14" ht="18" hidden="1" customHeight="1" x14ac:dyDescent="0.35">
      <c r="D781" s="73"/>
      <c r="E781" s="73"/>
      <c r="F781" s="74"/>
      <c r="G781" s="74"/>
      <c r="H781" s="74"/>
      <c r="I781" s="74"/>
      <c r="J781" s="74"/>
      <c r="K781" s="199"/>
      <c r="L781" s="199"/>
      <c r="M781" s="199"/>
      <c r="N781" s="232"/>
    </row>
    <row r="782" spans="1:14" ht="18" hidden="1" customHeight="1" x14ac:dyDescent="0.35">
      <c r="D782" s="73" t="s">
        <v>50</v>
      </c>
      <c r="E782" s="73" t="s">
        <v>63</v>
      </c>
      <c r="F782" s="74"/>
      <c r="G782" s="74"/>
      <c r="H782" s="74"/>
      <c r="I782" s="74"/>
      <c r="J782" s="74"/>
      <c r="K782" s="199">
        <f>K126</f>
        <v>24038.799999999999</v>
      </c>
      <c r="L782" s="199">
        <f>L126</f>
        <v>0</v>
      </c>
      <c r="M782" s="199">
        <f>M126</f>
        <v>24038.799999999999</v>
      </c>
      <c r="N782" s="232"/>
    </row>
    <row r="783" spans="1:14" ht="18" hidden="1" customHeight="1" x14ac:dyDescent="0.35">
      <c r="D783" s="73" t="s">
        <v>50</v>
      </c>
      <c r="E783" s="73" t="s">
        <v>77</v>
      </c>
      <c r="F783" s="74"/>
      <c r="G783" s="74"/>
      <c r="H783" s="74"/>
      <c r="I783" s="74"/>
      <c r="J783" s="74"/>
      <c r="K783" s="199">
        <f>K135</f>
        <v>10949.71689</v>
      </c>
      <c r="L783" s="199">
        <f>L135</f>
        <v>0</v>
      </c>
      <c r="M783" s="199">
        <f>M135</f>
        <v>10949.71689</v>
      </c>
      <c r="N783" s="232"/>
    </row>
    <row r="784" spans="1:14" ht="18" hidden="1" customHeight="1" x14ac:dyDescent="0.35">
      <c r="D784" s="73" t="s">
        <v>50</v>
      </c>
      <c r="E784" s="73" t="s">
        <v>98</v>
      </c>
      <c r="F784" s="74"/>
      <c r="G784" s="74"/>
      <c r="H784" s="74"/>
      <c r="I784" s="74"/>
      <c r="J784" s="74"/>
      <c r="K784" s="199">
        <f>K141+K326</f>
        <v>3129.1</v>
      </c>
      <c r="L784" s="199">
        <f>L141+L326</f>
        <v>0</v>
      </c>
      <c r="M784" s="199">
        <f>M141+M326</f>
        <v>3129.1</v>
      </c>
      <c r="N784" s="232"/>
    </row>
    <row r="785" spans="4:14" ht="18" hidden="1" customHeight="1" x14ac:dyDescent="0.35">
      <c r="D785" s="200" t="s">
        <v>50</v>
      </c>
      <c r="E785" s="200" t="s">
        <v>42</v>
      </c>
      <c r="F785" s="74"/>
      <c r="G785" s="74"/>
      <c r="H785" s="74"/>
      <c r="I785" s="74"/>
      <c r="J785" s="74"/>
      <c r="K785" s="201">
        <f t="shared" ref="K785:L785" si="265">SUBTOTAL(9,K782:K784)</f>
        <v>38117.616889999998</v>
      </c>
      <c r="L785" s="201">
        <f t="shared" si="265"/>
        <v>0</v>
      </c>
      <c r="M785" s="201">
        <f>SUBTOTAL(9,M782:M784)</f>
        <v>38117.616889999998</v>
      </c>
      <c r="N785" s="233"/>
    </row>
    <row r="786" spans="4:14" ht="18" hidden="1" customHeight="1" x14ac:dyDescent="0.35">
      <c r="D786" s="73"/>
      <c r="E786" s="73"/>
      <c r="F786" s="74"/>
      <c r="G786" s="74"/>
      <c r="H786" s="74"/>
      <c r="I786" s="74"/>
      <c r="J786" s="74"/>
      <c r="K786" s="199"/>
      <c r="L786" s="199"/>
      <c r="M786" s="199"/>
      <c r="N786" s="232"/>
    </row>
    <row r="787" spans="4:14" ht="18" hidden="1" customHeight="1" x14ac:dyDescent="0.35">
      <c r="D787" s="73" t="s">
        <v>63</v>
      </c>
      <c r="E787" s="73" t="s">
        <v>36</v>
      </c>
      <c r="F787" s="74"/>
      <c r="G787" s="74"/>
      <c r="H787" s="74"/>
      <c r="I787" s="74"/>
      <c r="J787" s="74"/>
      <c r="K787" s="199"/>
      <c r="L787" s="199"/>
      <c r="M787" s="199"/>
      <c r="N787" s="232"/>
    </row>
    <row r="788" spans="4:14" ht="18" hidden="1" customHeight="1" x14ac:dyDescent="0.35">
      <c r="D788" s="73" t="s">
        <v>63</v>
      </c>
      <c r="E788" s="73" t="s">
        <v>38</v>
      </c>
      <c r="F788" s="74"/>
      <c r="G788" s="74"/>
      <c r="H788" s="74"/>
      <c r="I788" s="74"/>
      <c r="J788" s="74"/>
      <c r="K788" s="199">
        <f>K337</f>
        <v>97055</v>
      </c>
      <c r="L788" s="199">
        <f>L337</f>
        <v>0</v>
      </c>
      <c r="M788" s="199">
        <f>M337</f>
        <v>97055</v>
      </c>
      <c r="N788" s="232"/>
    </row>
    <row r="789" spans="4:14" ht="18" hidden="1" customHeight="1" x14ac:dyDescent="0.35">
      <c r="D789" s="73" t="s">
        <v>63</v>
      </c>
      <c r="E789" s="73" t="s">
        <v>63</v>
      </c>
      <c r="F789" s="74"/>
      <c r="G789" s="74"/>
      <c r="H789" s="74"/>
      <c r="I789" s="74"/>
      <c r="J789" s="74"/>
      <c r="K789" s="199"/>
      <c r="L789" s="199"/>
      <c r="M789" s="199"/>
      <c r="N789" s="232"/>
    </row>
    <row r="790" spans="4:14" ht="18" hidden="1" customHeight="1" x14ac:dyDescent="0.35">
      <c r="D790" s="73" t="s">
        <v>63</v>
      </c>
      <c r="E790" s="73" t="s">
        <v>61</v>
      </c>
      <c r="F790" s="74"/>
      <c r="G790" s="74"/>
      <c r="H790" s="74"/>
      <c r="I790" s="74"/>
      <c r="J790" s="74"/>
      <c r="K790" s="199">
        <f>K162</f>
        <v>6131.1</v>
      </c>
      <c r="L790" s="199">
        <f>L162</f>
        <v>0</v>
      </c>
      <c r="M790" s="199">
        <f>M162</f>
        <v>6131.1</v>
      </c>
      <c r="N790" s="232"/>
    </row>
    <row r="791" spans="4:14" ht="18" hidden="1" customHeight="1" x14ac:dyDescent="0.35">
      <c r="D791" s="200" t="s">
        <v>63</v>
      </c>
      <c r="E791" s="200" t="s">
        <v>42</v>
      </c>
      <c r="F791" s="74"/>
      <c r="G791" s="74"/>
      <c r="H791" s="74"/>
      <c r="I791" s="74"/>
      <c r="J791" s="74"/>
      <c r="K791" s="201">
        <f t="shared" ref="K791:L791" si="266">SUBTOTAL(9,K787:K790)</f>
        <v>103186.1</v>
      </c>
      <c r="L791" s="201">
        <f t="shared" si="266"/>
        <v>0</v>
      </c>
      <c r="M791" s="201">
        <f>SUBTOTAL(9,M787:M790)</f>
        <v>103186.1</v>
      </c>
      <c r="N791" s="233"/>
    </row>
    <row r="792" spans="4:14" ht="18" hidden="1" customHeight="1" x14ac:dyDescent="0.35">
      <c r="D792" s="73"/>
      <c r="E792" s="73"/>
      <c r="F792" s="74"/>
      <c r="G792" s="74"/>
      <c r="H792" s="74"/>
      <c r="I792" s="74"/>
      <c r="J792" s="74"/>
      <c r="K792" s="199"/>
      <c r="L792" s="199"/>
      <c r="M792" s="199"/>
      <c r="N792" s="232"/>
    </row>
    <row r="793" spans="4:14" ht="18" hidden="1" customHeight="1" x14ac:dyDescent="0.35">
      <c r="D793" s="73" t="s">
        <v>221</v>
      </c>
      <c r="E793" s="73" t="s">
        <v>36</v>
      </c>
      <c r="F793" s="74"/>
      <c r="G793" s="74"/>
      <c r="H793" s="74"/>
      <c r="I793" s="74"/>
      <c r="J793" s="74"/>
      <c r="K793" s="199">
        <f>K401</f>
        <v>433246.39999999997</v>
      </c>
      <c r="L793" s="199">
        <f>L401</f>
        <v>300</v>
      </c>
      <c r="M793" s="199">
        <f>M401+M344</f>
        <v>463129.82999999996</v>
      </c>
      <c r="N793" s="232"/>
    </row>
    <row r="794" spans="4:14" ht="18" hidden="1" customHeight="1" x14ac:dyDescent="0.35">
      <c r="D794" s="73" t="s">
        <v>221</v>
      </c>
      <c r="E794" s="73" t="s">
        <v>38</v>
      </c>
      <c r="F794" s="74"/>
      <c r="G794" s="74"/>
      <c r="H794" s="74"/>
      <c r="I794" s="74"/>
      <c r="J794" s="74"/>
      <c r="K794" s="199">
        <f>K352+K422</f>
        <v>859161.35343000002</v>
      </c>
      <c r="L794" s="199">
        <f>L352+L422</f>
        <v>4365.5400000000036</v>
      </c>
      <c r="M794" s="199">
        <f>M352+M422</f>
        <v>863526.89342999994</v>
      </c>
      <c r="N794" s="232"/>
    </row>
    <row r="795" spans="4:14" ht="18" hidden="1" customHeight="1" x14ac:dyDescent="0.35">
      <c r="D795" s="73" t="s">
        <v>221</v>
      </c>
      <c r="E795" s="73" t="s">
        <v>61</v>
      </c>
      <c r="F795" s="74"/>
      <c r="G795" s="74"/>
      <c r="H795" s="74"/>
      <c r="I795" s="74"/>
      <c r="J795" s="74"/>
      <c r="K795" s="199">
        <f>K477+K565</f>
        <v>150910.79999999996</v>
      </c>
      <c r="L795" s="199">
        <f>L477+L565</f>
        <v>5070.8000000000029</v>
      </c>
      <c r="M795" s="199">
        <f>M477+M565</f>
        <v>155981.59999999998</v>
      </c>
      <c r="N795" s="232"/>
    </row>
    <row r="796" spans="4:14" ht="18" hidden="1" customHeight="1" x14ac:dyDescent="0.35">
      <c r="D796" s="73" t="s">
        <v>221</v>
      </c>
      <c r="E796" s="73" t="s">
        <v>63</v>
      </c>
      <c r="F796" s="74"/>
      <c r="G796" s="74"/>
      <c r="H796" s="74"/>
      <c r="I796" s="74"/>
      <c r="J796" s="74"/>
      <c r="K796" s="199">
        <f>K169+K242+K360+K274+K497</f>
        <v>392.8</v>
      </c>
      <c r="L796" s="199">
        <f>L169+L242+L360+L274+L497</f>
        <v>7.7</v>
      </c>
      <c r="M796" s="199">
        <f>M169+M242+M360+M274+M497</f>
        <v>400.5</v>
      </c>
      <c r="N796" s="232"/>
    </row>
    <row r="797" spans="4:14" ht="18" hidden="1" customHeight="1" x14ac:dyDescent="0.35">
      <c r="D797" s="73" t="s">
        <v>221</v>
      </c>
      <c r="E797" s="73" t="s">
        <v>221</v>
      </c>
      <c r="F797" s="74"/>
      <c r="G797" s="74"/>
      <c r="H797" s="74"/>
      <c r="I797" s="74"/>
      <c r="J797" s="74"/>
      <c r="K797" s="199">
        <f t="shared" ref="K797:L797" si="267">K710</f>
        <v>6312.4</v>
      </c>
      <c r="L797" s="199">
        <f t="shared" si="267"/>
        <v>102.20000000000005</v>
      </c>
      <c r="M797" s="199">
        <f>M710</f>
        <v>6414.5999999999995</v>
      </c>
      <c r="N797" s="232"/>
    </row>
    <row r="798" spans="4:14" ht="18" hidden="1" customHeight="1" x14ac:dyDescent="0.35">
      <c r="D798" s="73" t="s">
        <v>221</v>
      </c>
      <c r="E798" s="73" t="s">
        <v>77</v>
      </c>
      <c r="F798" s="74"/>
      <c r="G798" s="74"/>
      <c r="H798" s="74"/>
      <c r="I798" s="74"/>
      <c r="J798" s="74"/>
      <c r="K798" s="199">
        <f>K503+K579+K720</f>
        <v>102221.25000000003</v>
      </c>
      <c r="L798" s="199">
        <f>L503+L579+L720</f>
        <v>2703.6</v>
      </c>
      <c r="M798" s="199">
        <f>M503+M579+M720</f>
        <v>104924.85000000003</v>
      </c>
      <c r="N798" s="232"/>
    </row>
    <row r="799" spans="4:14" ht="18" hidden="1" customHeight="1" x14ac:dyDescent="0.35">
      <c r="D799" s="200" t="s">
        <v>221</v>
      </c>
      <c r="E799" s="200" t="s">
        <v>42</v>
      </c>
      <c r="F799" s="74"/>
      <c r="G799" s="74"/>
      <c r="H799" s="74"/>
      <c r="I799" s="74"/>
      <c r="J799" s="74"/>
      <c r="K799" s="201">
        <f t="shared" ref="K799:L799" si="268">SUBTOTAL(9,K793:K798)</f>
        <v>1552245.00343</v>
      </c>
      <c r="L799" s="201">
        <f t="shared" si="268"/>
        <v>12549.840000000009</v>
      </c>
      <c r="M799" s="201">
        <f>SUBTOTAL(9,M793:M798)</f>
        <v>1594378.2734300001</v>
      </c>
      <c r="N799" s="233"/>
    </row>
    <row r="800" spans="4:14" ht="18" hidden="1" customHeight="1" x14ac:dyDescent="0.35">
      <c r="D800" s="73"/>
      <c r="E800" s="73"/>
      <c r="F800" s="74"/>
      <c r="G800" s="74"/>
      <c r="H800" s="74"/>
      <c r="I800" s="74"/>
      <c r="J800" s="74"/>
      <c r="K800" s="199"/>
      <c r="L800" s="199"/>
      <c r="M800" s="199"/>
      <c r="N800" s="232"/>
    </row>
    <row r="801" spans="4:14" ht="18" hidden="1" customHeight="1" x14ac:dyDescent="0.35">
      <c r="D801" s="73" t="s">
        <v>223</v>
      </c>
      <c r="E801" s="73" t="s">
        <v>36</v>
      </c>
      <c r="F801" s="74"/>
      <c r="G801" s="74"/>
      <c r="H801" s="74"/>
      <c r="I801" s="74"/>
      <c r="J801" s="74"/>
      <c r="K801" s="199">
        <f t="shared" ref="K801:L801" si="269">K589</f>
        <v>38812.600000000006</v>
      </c>
      <c r="L801" s="199">
        <f t="shared" si="269"/>
        <v>0</v>
      </c>
      <c r="M801" s="199">
        <f>M589</f>
        <v>38812.600000000006</v>
      </c>
      <c r="N801" s="232"/>
    </row>
    <row r="802" spans="4:14" ht="18" hidden="1" customHeight="1" x14ac:dyDescent="0.35">
      <c r="D802" s="73" t="s">
        <v>223</v>
      </c>
      <c r="E802" s="73" t="s">
        <v>50</v>
      </c>
      <c r="F802" s="74"/>
      <c r="G802" s="74"/>
      <c r="H802" s="74"/>
      <c r="I802" s="74"/>
      <c r="J802" s="74"/>
      <c r="K802" s="199">
        <f t="shared" ref="K802:L802" si="270">K617</f>
        <v>14039</v>
      </c>
      <c r="L802" s="199">
        <f t="shared" si="270"/>
        <v>698.69999999999959</v>
      </c>
      <c r="M802" s="199">
        <f>M617</f>
        <v>14737.699999999997</v>
      </c>
      <c r="N802" s="232"/>
    </row>
    <row r="803" spans="4:14" ht="18" hidden="1" customHeight="1" x14ac:dyDescent="0.35">
      <c r="D803" s="200" t="s">
        <v>223</v>
      </c>
      <c r="E803" s="200" t="s">
        <v>42</v>
      </c>
      <c r="F803" s="74"/>
      <c r="G803" s="74"/>
      <c r="H803" s="74"/>
      <c r="I803" s="74"/>
      <c r="J803" s="74"/>
      <c r="K803" s="201">
        <f t="shared" ref="K803:L803" si="271">SUBTOTAL(9,K801:K802)</f>
        <v>52851.600000000006</v>
      </c>
      <c r="L803" s="201">
        <f t="shared" si="271"/>
        <v>698.69999999999959</v>
      </c>
      <c r="M803" s="201">
        <f>SUBTOTAL(9,M801:M802)</f>
        <v>53550.3</v>
      </c>
      <c r="N803" s="233"/>
    </row>
    <row r="804" spans="4:14" ht="18" hidden="1" customHeight="1" x14ac:dyDescent="0.35">
      <c r="D804" s="73"/>
      <c r="E804" s="73"/>
      <c r="F804" s="74"/>
      <c r="G804" s="74"/>
      <c r="H804" s="74"/>
      <c r="I804" s="74"/>
      <c r="J804" s="74"/>
      <c r="K804" s="199"/>
      <c r="L804" s="199"/>
      <c r="M804" s="199"/>
      <c r="N804" s="232"/>
    </row>
    <row r="805" spans="4:14" ht="18" hidden="1" customHeight="1" x14ac:dyDescent="0.35">
      <c r="D805" s="73" t="s">
        <v>102</v>
      </c>
      <c r="E805" s="73" t="s">
        <v>36</v>
      </c>
      <c r="F805" s="74"/>
      <c r="G805" s="74"/>
      <c r="H805" s="74"/>
      <c r="I805" s="74"/>
      <c r="J805" s="74"/>
      <c r="K805" s="199">
        <f>K179</f>
        <v>1846.5</v>
      </c>
      <c r="L805" s="199">
        <f>L179</f>
        <v>0</v>
      </c>
      <c r="M805" s="199">
        <f>M179</f>
        <v>1846.5</v>
      </c>
      <c r="N805" s="232"/>
    </row>
    <row r="806" spans="4:14" ht="18" hidden="1" customHeight="1" x14ac:dyDescent="0.35">
      <c r="D806" s="73" t="s">
        <v>102</v>
      </c>
      <c r="E806" s="73" t="s">
        <v>61</v>
      </c>
      <c r="F806" s="74"/>
      <c r="G806" s="74"/>
      <c r="H806" s="74"/>
      <c r="I806" s="74"/>
      <c r="J806" s="74"/>
      <c r="K806" s="199"/>
      <c r="L806" s="199"/>
      <c r="M806" s="199">
        <f>M185</f>
        <v>2779.5</v>
      </c>
      <c r="N806" s="232"/>
    </row>
    <row r="807" spans="4:14" ht="18" hidden="1" customHeight="1" x14ac:dyDescent="0.35">
      <c r="D807" s="73" t="s">
        <v>102</v>
      </c>
      <c r="E807" s="73" t="s">
        <v>50</v>
      </c>
      <c r="F807" s="74"/>
      <c r="G807" s="74"/>
      <c r="H807" s="74"/>
      <c r="I807" s="74"/>
      <c r="J807" s="74"/>
      <c r="K807" s="199">
        <f>K367+K534+K731</f>
        <v>134854.97473999998</v>
      </c>
      <c r="L807" s="199">
        <f>L367+L534+L731</f>
        <v>14203.603359999999</v>
      </c>
      <c r="M807" s="199">
        <f>M367+M534+M731</f>
        <v>149058.57809999998</v>
      </c>
      <c r="N807" s="232"/>
    </row>
    <row r="808" spans="4:14" ht="18" hidden="1" customHeight="1" x14ac:dyDescent="0.35">
      <c r="D808" s="73" t="s">
        <v>102</v>
      </c>
      <c r="E808" s="73" t="s">
        <v>79</v>
      </c>
      <c r="F808" s="74"/>
      <c r="G808" s="74"/>
      <c r="H808" s="74"/>
      <c r="I808" s="74"/>
      <c r="J808" s="74"/>
      <c r="K808" s="199">
        <f>K191+K749</f>
        <v>12417.9</v>
      </c>
      <c r="L808" s="199">
        <f>L191+L749</f>
        <v>0</v>
      </c>
      <c r="M808" s="199">
        <f>M191+M749</f>
        <v>12417.9</v>
      </c>
      <c r="N808" s="232"/>
    </row>
    <row r="809" spans="4:14" ht="18" hidden="1" customHeight="1" x14ac:dyDescent="0.35">
      <c r="D809" s="200" t="s">
        <v>102</v>
      </c>
      <c r="E809" s="200" t="s">
        <v>42</v>
      </c>
      <c r="F809" s="74"/>
      <c r="G809" s="74"/>
      <c r="H809" s="74"/>
      <c r="I809" s="74"/>
      <c r="J809" s="74"/>
      <c r="K809" s="201">
        <f t="shared" ref="K809:L809" si="272">SUBTOTAL(9,K805:K808)</f>
        <v>149119.37473999997</v>
      </c>
      <c r="L809" s="201">
        <f t="shared" si="272"/>
        <v>14203.603359999999</v>
      </c>
      <c r="M809" s="201">
        <f>SUBTOTAL(9,M805:M808)</f>
        <v>166102.47809999998</v>
      </c>
      <c r="N809" s="233"/>
    </row>
    <row r="810" spans="4:14" ht="18" hidden="1" customHeight="1" x14ac:dyDescent="0.35">
      <c r="D810" s="73"/>
      <c r="E810" s="73"/>
      <c r="F810" s="74"/>
      <c r="G810" s="74"/>
      <c r="H810" s="74"/>
      <c r="I810" s="74"/>
      <c r="J810" s="74"/>
      <c r="K810" s="199"/>
      <c r="L810" s="199"/>
      <c r="M810" s="199"/>
      <c r="N810" s="232"/>
    </row>
    <row r="811" spans="4:14" ht="18" hidden="1" customHeight="1" x14ac:dyDescent="0.35">
      <c r="D811" s="73" t="s">
        <v>65</v>
      </c>
      <c r="E811" s="73" t="s">
        <v>36</v>
      </c>
      <c r="F811" s="74"/>
      <c r="G811" s="74"/>
      <c r="H811" s="74"/>
      <c r="I811" s="74"/>
      <c r="J811" s="74"/>
      <c r="K811" s="199">
        <f>K643+K376</f>
        <v>32200.2</v>
      </c>
      <c r="L811" s="199">
        <f>L643+L376</f>
        <v>0</v>
      </c>
      <c r="M811" s="199">
        <f>M643+M376</f>
        <v>32200.2</v>
      </c>
      <c r="N811" s="232"/>
    </row>
    <row r="812" spans="4:14" ht="18" hidden="1" customHeight="1" x14ac:dyDescent="0.35">
      <c r="D812" s="73" t="s">
        <v>65</v>
      </c>
      <c r="E812" s="73" t="s">
        <v>38</v>
      </c>
      <c r="F812" s="74"/>
      <c r="G812" s="74"/>
      <c r="H812" s="74"/>
      <c r="I812" s="74"/>
      <c r="J812" s="74"/>
      <c r="K812" s="199">
        <f t="shared" ref="K812:L812" si="273">K653</f>
        <v>31407.3</v>
      </c>
      <c r="L812" s="199">
        <f t="shared" si="273"/>
        <v>0</v>
      </c>
      <c r="M812" s="199">
        <f>M653</f>
        <v>31407.3</v>
      </c>
      <c r="N812" s="232"/>
    </row>
    <row r="813" spans="4:14" ht="18" hidden="1" customHeight="1" x14ac:dyDescent="0.35">
      <c r="D813" s="73" t="s">
        <v>65</v>
      </c>
      <c r="E813" s="73" t="s">
        <v>61</v>
      </c>
      <c r="F813" s="74"/>
      <c r="G813" s="74"/>
      <c r="H813" s="74"/>
      <c r="I813" s="74"/>
      <c r="J813" s="74"/>
      <c r="K813" s="199">
        <f>K665+K542</f>
        <v>73814.91</v>
      </c>
      <c r="L813" s="199">
        <f>L665+L542</f>
        <v>1853.2999999999984</v>
      </c>
      <c r="M813" s="199">
        <f>M665+M542</f>
        <v>75668.210000000006</v>
      </c>
      <c r="N813" s="232"/>
    </row>
    <row r="814" spans="4:14" ht="18" hidden="1" customHeight="1" x14ac:dyDescent="0.35">
      <c r="D814" s="73" t="s">
        <v>65</v>
      </c>
      <c r="E814" s="73" t="s">
        <v>63</v>
      </c>
      <c r="F814" s="74"/>
      <c r="G814" s="74"/>
      <c r="H814" s="74"/>
      <c r="I814" s="74"/>
      <c r="J814" s="74"/>
      <c r="K814" s="199">
        <f t="shared" ref="K814:L814" si="274">K683</f>
        <v>3088.7000000000003</v>
      </c>
      <c r="L814" s="199">
        <f t="shared" si="274"/>
        <v>0</v>
      </c>
      <c r="M814" s="199">
        <f>M683</f>
        <v>3088.7000000000003</v>
      </c>
      <c r="N814" s="232"/>
    </row>
    <row r="815" spans="4:14" ht="18" hidden="1" customHeight="1" x14ac:dyDescent="0.35">
      <c r="D815" s="200" t="s">
        <v>65</v>
      </c>
      <c r="E815" s="200" t="s">
        <v>42</v>
      </c>
      <c r="F815" s="74"/>
      <c r="G815" s="74"/>
      <c r="H815" s="74"/>
      <c r="I815" s="74"/>
      <c r="J815" s="74"/>
      <c r="K815" s="201">
        <f t="shared" ref="K815:L815" si="275">SUBTOTAL(9,K811:K814)</f>
        <v>140511.11000000002</v>
      </c>
      <c r="L815" s="201">
        <f t="shared" si="275"/>
        <v>1853.2999999999984</v>
      </c>
      <c r="M815" s="201">
        <f>SUBTOTAL(9,M811:M814)</f>
        <v>142364.41000000003</v>
      </c>
      <c r="N815" s="233"/>
    </row>
    <row r="816" spans="4:14" ht="18" hidden="1" customHeight="1" x14ac:dyDescent="0.35">
      <c r="D816" s="73"/>
      <c r="E816" s="73"/>
      <c r="F816" s="74"/>
      <c r="G816" s="74"/>
      <c r="H816" s="74"/>
      <c r="I816" s="74"/>
      <c r="J816" s="74"/>
      <c r="K816" s="199"/>
      <c r="L816" s="199"/>
      <c r="M816" s="199"/>
      <c r="N816" s="232"/>
    </row>
    <row r="817" spans="2:14" ht="18" hidden="1" customHeight="1" x14ac:dyDescent="0.35">
      <c r="D817" s="73" t="s">
        <v>69</v>
      </c>
      <c r="E817" s="73" t="s">
        <v>36</v>
      </c>
      <c r="F817" s="74"/>
      <c r="G817" s="74"/>
      <c r="H817" s="74"/>
      <c r="I817" s="74"/>
      <c r="J817" s="74"/>
      <c r="K817" s="199">
        <f>K197</f>
        <v>36</v>
      </c>
      <c r="L817" s="199">
        <f>L197</f>
        <v>0</v>
      </c>
      <c r="M817" s="199">
        <f>M197</f>
        <v>36</v>
      </c>
      <c r="N817" s="232"/>
    </row>
    <row r="818" spans="2:14" ht="18" hidden="1" customHeight="1" x14ac:dyDescent="0.35">
      <c r="D818" s="200" t="s">
        <v>69</v>
      </c>
      <c r="E818" s="200" t="s">
        <v>42</v>
      </c>
      <c r="F818" s="74"/>
      <c r="G818" s="74"/>
      <c r="H818" s="74"/>
      <c r="I818" s="74"/>
      <c r="J818" s="74"/>
      <c r="K818" s="201">
        <f t="shared" ref="K818:L818" si="276">K817</f>
        <v>36</v>
      </c>
      <c r="L818" s="201">
        <f t="shared" si="276"/>
        <v>0</v>
      </c>
      <c r="M818" s="201">
        <f>M817</f>
        <v>36</v>
      </c>
      <c r="N818" s="233"/>
    </row>
    <row r="819" spans="2:14" ht="18" hidden="1" customHeight="1" x14ac:dyDescent="0.35">
      <c r="D819" s="73"/>
      <c r="E819" s="73"/>
      <c r="F819" s="74"/>
      <c r="G819" s="74"/>
      <c r="H819" s="74"/>
      <c r="I819" s="74"/>
      <c r="J819" s="74"/>
      <c r="K819" s="199"/>
      <c r="L819" s="199"/>
      <c r="M819" s="199"/>
      <c r="N819" s="232"/>
    </row>
    <row r="820" spans="2:14" ht="18" hidden="1" customHeight="1" x14ac:dyDescent="0.35">
      <c r="D820" s="73" t="s">
        <v>86</v>
      </c>
      <c r="E820" s="73" t="s">
        <v>36</v>
      </c>
      <c r="F820" s="74"/>
      <c r="G820" s="74"/>
      <c r="H820" s="74"/>
      <c r="I820" s="74"/>
      <c r="J820" s="74"/>
      <c r="K820" s="199">
        <f>K249</f>
        <v>9000</v>
      </c>
      <c r="L820" s="199">
        <f>L249</f>
        <v>0</v>
      </c>
      <c r="M820" s="199">
        <f>M249</f>
        <v>9000</v>
      </c>
      <c r="N820" s="232"/>
    </row>
    <row r="821" spans="2:14" ht="18" hidden="1" customHeight="1" x14ac:dyDescent="0.35">
      <c r="D821" s="73" t="s">
        <v>86</v>
      </c>
      <c r="E821" s="73" t="s">
        <v>38</v>
      </c>
      <c r="F821" s="74"/>
      <c r="G821" s="74"/>
      <c r="H821" s="74"/>
      <c r="I821" s="74"/>
      <c r="J821" s="74"/>
      <c r="K821" s="199"/>
      <c r="L821" s="199"/>
      <c r="M821" s="199"/>
      <c r="N821" s="232"/>
    </row>
    <row r="822" spans="2:14" ht="18" hidden="1" customHeight="1" x14ac:dyDescent="0.35">
      <c r="D822" s="73" t="s">
        <v>86</v>
      </c>
      <c r="E822" s="73" t="s">
        <v>61</v>
      </c>
      <c r="F822" s="74"/>
      <c r="G822" s="74"/>
      <c r="H822" s="74"/>
      <c r="I822" s="74"/>
      <c r="J822" s="74"/>
      <c r="K822" s="199"/>
      <c r="L822" s="199"/>
      <c r="M822" s="199">
        <f>M205+M255</f>
        <v>30315</v>
      </c>
      <c r="N822" s="232"/>
    </row>
    <row r="823" spans="2:14" ht="18" hidden="1" customHeight="1" x14ac:dyDescent="0.35">
      <c r="D823" s="200" t="s">
        <v>86</v>
      </c>
      <c r="E823" s="200" t="s">
        <v>42</v>
      </c>
      <c r="F823" s="74"/>
      <c r="G823" s="74"/>
      <c r="H823" s="74"/>
      <c r="I823" s="74"/>
      <c r="J823" s="74"/>
      <c r="K823" s="201">
        <f t="shared" ref="K823:L823" si="277">SUBTOTAL(9,K820:K822)</f>
        <v>9000</v>
      </c>
      <c r="L823" s="201">
        <f t="shared" si="277"/>
        <v>0</v>
      </c>
      <c r="M823" s="201">
        <f>SUBTOTAL(9,M820:M822)</f>
        <v>39315</v>
      </c>
      <c r="N823" s="233"/>
    </row>
    <row r="824" spans="2:14" ht="18" hidden="1" customHeight="1" x14ac:dyDescent="0.35">
      <c r="D824" s="122"/>
      <c r="E824" s="73"/>
      <c r="F824" s="74"/>
      <c r="G824" s="74"/>
      <c r="H824" s="74"/>
      <c r="I824" s="74"/>
      <c r="J824" s="74"/>
      <c r="K824" s="572">
        <f t="shared" ref="K824:L824" si="278">K776+K780+K785+K791+K799+K803+K809+K815+K818+K823</f>
        <v>2328590.5339699998</v>
      </c>
      <c r="L824" s="572">
        <f t="shared" si="278"/>
        <v>38438.800000000003</v>
      </c>
      <c r="M824" s="572">
        <f>M776+M780+M785+M791+M799+M803+M809+M815+M818+M823</f>
        <v>2429707.2639700002</v>
      </c>
      <c r="N824" s="124"/>
    </row>
    <row r="825" spans="2:14" ht="18" hidden="1" customHeight="1" x14ac:dyDescent="0.35">
      <c r="D825" s="123"/>
      <c r="E825" s="123"/>
      <c r="F825" s="78"/>
      <c r="G825" s="78"/>
      <c r="H825" s="78"/>
      <c r="I825" s="78"/>
      <c r="J825" s="78"/>
      <c r="K825" s="573"/>
      <c r="L825" s="573"/>
      <c r="M825" s="573"/>
      <c r="N825" s="124"/>
    </row>
    <row r="826" spans="2:14" ht="18" hidden="1" customHeight="1" x14ac:dyDescent="0.35">
      <c r="B826" s="601" t="s">
        <v>388</v>
      </c>
      <c r="D826" s="123"/>
      <c r="E826" s="123"/>
      <c r="F826" s="78"/>
      <c r="G826" s="78"/>
      <c r="H826" s="78"/>
      <c r="I826" s="78"/>
      <c r="J826" s="78"/>
      <c r="K826" s="573"/>
      <c r="L826" s="573"/>
      <c r="M826" s="573"/>
      <c r="N826" s="124"/>
    </row>
    <row r="827" spans="2:14" ht="18" hidden="1" customHeight="1" x14ac:dyDescent="0.35">
      <c r="B827" s="601" t="s">
        <v>387</v>
      </c>
      <c r="D827" s="123"/>
      <c r="E827" s="123"/>
      <c r="F827" s="78"/>
      <c r="G827" s="78"/>
      <c r="H827" s="78"/>
      <c r="I827" s="78"/>
      <c r="J827" s="78"/>
      <c r="K827" s="573"/>
      <c r="L827" s="573"/>
      <c r="M827" s="573"/>
      <c r="N827" s="124"/>
    </row>
    <row r="828" spans="2:14" ht="18" customHeight="1" x14ac:dyDescent="0.35">
      <c r="D828" s="123"/>
      <c r="E828" s="123"/>
      <c r="F828" s="78"/>
      <c r="G828" s="78"/>
      <c r="H828" s="78"/>
      <c r="I828" s="78"/>
      <c r="J828" s="78"/>
      <c r="K828" s="574"/>
      <c r="L828" s="574"/>
      <c r="M828" s="574"/>
      <c r="N828" s="124"/>
    </row>
    <row r="829" spans="2:14" ht="18" customHeight="1" x14ac:dyDescent="0.35">
      <c r="D829" s="123"/>
      <c r="E829" s="123"/>
      <c r="F829" s="78"/>
      <c r="G829" s="78"/>
      <c r="H829" s="78"/>
      <c r="I829" s="78"/>
      <c r="J829" s="78"/>
      <c r="K829" s="575"/>
      <c r="L829" s="575"/>
      <c r="M829" s="575"/>
      <c r="N829" s="124"/>
    </row>
    <row r="830" spans="2:14" ht="14.4" customHeight="1" x14ac:dyDescent="0.3">
      <c r="D830" s="124"/>
      <c r="E830" s="124"/>
      <c r="F830" s="124"/>
      <c r="G830" s="124"/>
      <c r="H830" s="124"/>
      <c r="I830" s="124"/>
      <c r="J830" s="124"/>
      <c r="K830" s="575"/>
      <c r="L830" s="575"/>
      <c r="M830" s="575"/>
      <c r="N830" s="124"/>
    </row>
    <row r="831" spans="2:14" ht="14.4" customHeight="1" x14ac:dyDescent="0.3">
      <c r="D831" s="124"/>
      <c r="E831" s="124"/>
      <c r="F831" s="124"/>
      <c r="G831" s="124"/>
      <c r="H831" s="124"/>
      <c r="I831" s="124"/>
      <c r="J831" s="124"/>
      <c r="K831" s="575"/>
      <c r="L831" s="575"/>
      <c r="M831" s="575"/>
      <c r="N831" s="124"/>
    </row>
    <row r="832" spans="2:14" ht="14.4" customHeight="1" x14ac:dyDescent="0.3">
      <c r="D832" s="124"/>
      <c r="E832" s="124"/>
      <c r="F832" s="124"/>
      <c r="G832" s="124"/>
      <c r="H832" s="124"/>
      <c r="I832" s="124"/>
      <c r="J832" s="124"/>
      <c r="K832" s="575"/>
      <c r="L832" s="575"/>
      <c r="M832" s="575"/>
      <c r="N832" s="124"/>
    </row>
    <row r="833" spans="4:14" ht="14.4" customHeight="1" x14ac:dyDescent="0.3">
      <c r="D833" s="124"/>
      <c r="E833" s="124"/>
      <c r="F833" s="124"/>
      <c r="G833" s="124"/>
      <c r="H833" s="124"/>
      <c r="I833" s="124"/>
      <c r="J833" s="124"/>
      <c r="K833" s="575"/>
      <c r="L833" s="575"/>
      <c r="M833" s="575"/>
      <c r="N833" s="124"/>
    </row>
    <row r="834" spans="4:14" ht="14.4" customHeight="1" x14ac:dyDescent="0.3">
      <c r="D834" s="124"/>
      <c r="E834" s="124"/>
      <c r="F834" s="124"/>
      <c r="G834" s="124"/>
      <c r="H834" s="124"/>
      <c r="I834" s="124"/>
      <c r="J834" s="124"/>
      <c r="K834" s="575"/>
      <c r="L834" s="575"/>
      <c r="M834" s="575"/>
      <c r="N834" s="124"/>
    </row>
    <row r="835" spans="4:14" ht="14.4" customHeight="1" x14ac:dyDescent="0.3">
      <c r="D835" s="124"/>
      <c r="E835" s="124"/>
      <c r="F835" s="124"/>
      <c r="G835" s="124"/>
      <c r="H835" s="124"/>
      <c r="I835" s="124"/>
      <c r="J835" s="124"/>
      <c r="K835" s="575"/>
      <c r="L835" s="575"/>
      <c r="M835" s="575"/>
      <c r="N835" s="124"/>
    </row>
    <row r="836" spans="4:14" ht="14.4" customHeight="1" x14ac:dyDescent="0.3">
      <c r="D836" s="124"/>
      <c r="E836" s="124"/>
      <c r="F836" s="124"/>
      <c r="G836" s="124"/>
      <c r="H836" s="124"/>
      <c r="I836" s="124"/>
      <c r="J836" s="124"/>
      <c r="K836" s="575"/>
      <c r="L836" s="575"/>
      <c r="M836" s="575"/>
      <c r="N836" s="124"/>
    </row>
    <row r="837" spans="4:14" ht="14.4" customHeight="1" x14ac:dyDescent="0.3">
      <c r="D837" s="124"/>
      <c r="E837" s="124"/>
      <c r="F837" s="124"/>
      <c r="G837" s="124"/>
      <c r="H837" s="124"/>
      <c r="I837" s="124"/>
      <c r="J837" s="124"/>
      <c r="K837" s="575"/>
      <c r="L837" s="575"/>
      <c r="M837" s="575"/>
      <c r="N837" s="124"/>
    </row>
    <row r="838" spans="4:14" ht="14.4" customHeight="1" x14ac:dyDescent="0.3">
      <c r="D838" s="124"/>
      <c r="E838" s="124"/>
      <c r="F838" s="124"/>
      <c r="G838" s="124"/>
      <c r="H838" s="124"/>
      <c r="I838" s="124"/>
      <c r="J838" s="124"/>
      <c r="K838" s="575"/>
      <c r="L838" s="575"/>
      <c r="M838" s="575"/>
      <c r="N838" s="124"/>
    </row>
    <row r="839" spans="4:14" ht="14.4" customHeight="1" x14ac:dyDescent="0.3">
      <c r="D839" s="124"/>
      <c r="E839" s="124"/>
      <c r="F839" s="124"/>
      <c r="G839" s="124"/>
      <c r="H839" s="124"/>
      <c r="I839" s="124"/>
      <c r="J839" s="124"/>
      <c r="K839" s="575"/>
      <c r="L839" s="575"/>
      <c r="M839" s="575"/>
      <c r="N839" s="124"/>
    </row>
    <row r="840" spans="4:14" ht="14.4" customHeight="1" x14ac:dyDescent="0.3">
      <c r="D840" s="124"/>
      <c r="E840" s="124"/>
      <c r="F840" s="124"/>
      <c r="G840" s="124"/>
      <c r="H840" s="124"/>
      <c r="I840" s="124"/>
      <c r="J840" s="124"/>
      <c r="K840" s="575"/>
      <c r="L840" s="575"/>
      <c r="M840" s="575"/>
      <c r="N840" s="124"/>
    </row>
    <row r="841" spans="4:14" ht="14.4" customHeight="1" x14ac:dyDescent="0.3">
      <c r="D841" s="124"/>
      <c r="E841" s="124"/>
      <c r="F841" s="124"/>
      <c r="G841" s="124"/>
      <c r="H841" s="124"/>
      <c r="I841" s="124"/>
      <c r="J841" s="124"/>
      <c r="K841" s="575"/>
      <c r="L841" s="575"/>
      <c r="M841" s="575"/>
      <c r="N841" s="124"/>
    </row>
    <row r="842" spans="4:14" ht="14.4" customHeight="1" x14ac:dyDescent="0.3">
      <c r="D842" s="124"/>
      <c r="E842" s="124"/>
      <c r="F842" s="124"/>
      <c r="G842" s="124"/>
      <c r="H842" s="124"/>
      <c r="I842" s="124"/>
      <c r="J842" s="124"/>
      <c r="K842" s="575"/>
      <c r="L842" s="575"/>
      <c r="M842" s="575"/>
      <c r="N842" s="124"/>
    </row>
    <row r="843" spans="4:14" ht="14.4" customHeight="1" x14ac:dyDescent="0.3">
      <c r="D843" s="124"/>
      <c r="E843" s="124"/>
      <c r="F843" s="124"/>
      <c r="G843" s="124"/>
      <c r="H843" s="124"/>
      <c r="I843" s="124"/>
      <c r="J843" s="124"/>
      <c r="K843" s="575"/>
      <c r="L843" s="575"/>
      <c r="M843" s="575"/>
      <c r="N843" s="124"/>
    </row>
    <row r="844" spans="4:14" ht="14.4" customHeight="1" x14ac:dyDescent="0.3">
      <c r="D844" s="124"/>
      <c r="E844" s="124"/>
      <c r="F844" s="124"/>
      <c r="G844" s="124"/>
      <c r="H844" s="124"/>
      <c r="I844" s="124"/>
      <c r="J844" s="124"/>
      <c r="K844" s="575"/>
      <c r="L844" s="575"/>
      <c r="M844" s="575"/>
      <c r="N844" s="124"/>
    </row>
    <row r="845" spans="4:14" ht="14.4" customHeight="1" x14ac:dyDescent="0.3">
      <c r="D845" s="124"/>
      <c r="E845" s="124"/>
      <c r="F845" s="124"/>
      <c r="G845" s="124"/>
      <c r="H845" s="124"/>
      <c r="I845" s="124"/>
      <c r="J845" s="124"/>
      <c r="K845" s="575"/>
      <c r="L845" s="575"/>
      <c r="M845" s="575"/>
      <c r="N845" s="124"/>
    </row>
    <row r="846" spans="4:14" ht="14.4" customHeight="1" x14ac:dyDescent="0.3">
      <c r="D846" s="124"/>
      <c r="E846" s="124"/>
      <c r="F846" s="124"/>
      <c r="G846" s="124"/>
      <c r="H846" s="124"/>
      <c r="I846" s="124"/>
      <c r="J846" s="124"/>
      <c r="K846" s="575"/>
      <c r="L846" s="575"/>
      <c r="M846" s="575"/>
      <c r="N846" s="124"/>
    </row>
    <row r="847" spans="4:14" ht="14.4" customHeight="1" x14ac:dyDescent="0.3">
      <c r="D847" s="124"/>
      <c r="E847" s="124"/>
      <c r="F847" s="124"/>
      <c r="G847" s="124"/>
      <c r="H847" s="124"/>
      <c r="I847" s="124"/>
      <c r="J847" s="124"/>
      <c r="K847" s="575"/>
      <c r="L847" s="575"/>
      <c r="M847" s="575"/>
      <c r="N847" s="124"/>
    </row>
    <row r="848" spans="4:14" ht="14.4" customHeight="1" x14ac:dyDescent="0.3">
      <c r="D848" s="124"/>
      <c r="E848" s="124"/>
      <c r="F848" s="124"/>
      <c r="G848" s="124"/>
      <c r="H848" s="124"/>
      <c r="I848" s="124"/>
      <c r="J848" s="124"/>
      <c r="K848" s="575"/>
      <c r="L848" s="575"/>
      <c r="M848" s="575"/>
      <c r="N848" s="124"/>
    </row>
    <row r="849" spans="4:14" ht="14.4" customHeight="1" x14ac:dyDescent="0.3">
      <c r="D849" s="124"/>
      <c r="E849" s="124"/>
      <c r="F849" s="124"/>
      <c r="G849" s="124"/>
      <c r="H849" s="124"/>
      <c r="I849" s="124"/>
      <c r="J849" s="124"/>
      <c r="K849" s="575"/>
      <c r="L849" s="575"/>
      <c r="M849" s="575"/>
      <c r="N849" s="124"/>
    </row>
    <row r="850" spans="4:14" ht="14.4" customHeight="1" x14ac:dyDescent="0.3">
      <c r="D850" s="124"/>
      <c r="E850" s="124"/>
      <c r="F850" s="124"/>
      <c r="G850" s="124"/>
      <c r="H850" s="124"/>
      <c r="I850" s="124"/>
      <c r="J850" s="124"/>
      <c r="K850" s="575"/>
      <c r="L850" s="575"/>
      <c r="M850" s="575"/>
      <c r="N850" s="124"/>
    </row>
    <row r="851" spans="4:14" ht="14.4" customHeight="1" x14ac:dyDescent="0.3">
      <c r="D851" s="124"/>
      <c r="E851" s="124"/>
      <c r="F851" s="124"/>
      <c r="G851" s="124"/>
      <c r="H851" s="124"/>
      <c r="I851" s="124"/>
      <c r="J851" s="124"/>
      <c r="K851" s="575"/>
      <c r="L851" s="575"/>
      <c r="M851" s="575"/>
      <c r="N851" s="124"/>
    </row>
    <row r="852" spans="4:14" ht="14.4" customHeight="1" x14ac:dyDescent="0.3">
      <c r="D852" s="124"/>
      <c r="E852" s="124"/>
      <c r="F852" s="124"/>
      <c r="G852" s="124"/>
      <c r="H852" s="124"/>
      <c r="I852" s="124"/>
      <c r="J852" s="124"/>
      <c r="K852" s="575"/>
      <c r="L852" s="575"/>
      <c r="M852" s="575"/>
      <c r="N852" s="124"/>
    </row>
    <row r="853" spans="4:14" ht="14.4" customHeight="1" x14ac:dyDescent="0.3">
      <c r="D853" s="124"/>
      <c r="E853" s="124"/>
      <c r="F853" s="124"/>
      <c r="G853" s="124"/>
      <c r="H853" s="124"/>
      <c r="I853" s="124"/>
      <c r="J853" s="124"/>
      <c r="K853" s="575"/>
      <c r="L853" s="575"/>
      <c r="M853" s="575"/>
      <c r="N853" s="124"/>
    </row>
    <row r="854" spans="4:14" ht="14.4" customHeight="1" x14ac:dyDescent="0.3">
      <c r="D854" s="124"/>
      <c r="E854" s="124"/>
      <c r="F854" s="124"/>
      <c r="G854" s="124"/>
      <c r="H854" s="124"/>
      <c r="I854" s="124"/>
      <c r="J854" s="124"/>
      <c r="K854" s="575"/>
      <c r="L854" s="575"/>
      <c r="M854" s="575"/>
      <c r="N854" s="124"/>
    </row>
    <row r="855" spans="4:14" ht="14.4" customHeight="1" x14ac:dyDescent="0.3">
      <c r="D855" s="124"/>
      <c r="E855" s="124"/>
      <c r="F855" s="124"/>
      <c r="G855" s="124"/>
      <c r="H855" s="124"/>
      <c r="I855" s="124"/>
      <c r="J855" s="124"/>
      <c r="K855" s="575"/>
      <c r="L855" s="575"/>
      <c r="M855" s="575"/>
      <c r="N855" s="124"/>
    </row>
    <row r="856" spans="4:14" ht="14.4" customHeight="1" x14ac:dyDescent="0.3">
      <c r="D856" s="124"/>
      <c r="E856" s="124"/>
      <c r="F856" s="124"/>
      <c r="G856" s="124"/>
      <c r="H856" s="124"/>
      <c r="I856" s="124"/>
      <c r="J856" s="124"/>
      <c r="K856" s="575"/>
      <c r="L856" s="575"/>
      <c r="M856" s="575"/>
      <c r="N856" s="124"/>
    </row>
    <row r="857" spans="4:14" ht="14.4" customHeight="1" x14ac:dyDescent="0.3">
      <c r="D857" s="124"/>
      <c r="E857" s="124"/>
      <c r="F857" s="124"/>
      <c r="G857" s="124"/>
      <c r="H857" s="124"/>
      <c r="I857" s="124"/>
      <c r="J857" s="124"/>
      <c r="K857" s="575"/>
      <c r="L857" s="575"/>
      <c r="M857" s="575"/>
      <c r="N857" s="124"/>
    </row>
    <row r="858" spans="4:14" ht="14.4" customHeight="1" x14ac:dyDescent="0.3">
      <c r="D858" s="124"/>
      <c r="E858" s="124"/>
      <c r="F858" s="124"/>
      <c r="G858" s="124"/>
      <c r="H858" s="124"/>
      <c r="I858" s="124"/>
      <c r="J858" s="124"/>
      <c r="K858" s="575"/>
      <c r="L858" s="575"/>
      <c r="M858" s="575"/>
      <c r="N858" s="124"/>
    </row>
    <row r="859" spans="4:14" ht="14.4" customHeight="1" x14ac:dyDescent="0.3">
      <c r="D859" s="124"/>
      <c r="E859" s="124"/>
      <c r="F859" s="124"/>
      <c r="G859" s="124"/>
      <c r="H859" s="124"/>
      <c r="I859" s="124"/>
      <c r="J859" s="124"/>
      <c r="K859" s="575"/>
      <c r="L859" s="575"/>
      <c r="M859" s="575"/>
      <c r="N859" s="124"/>
    </row>
    <row r="860" spans="4:14" ht="14.4" customHeight="1" x14ac:dyDescent="0.3">
      <c r="D860" s="124"/>
      <c r="E860" s="124"/>
      <c r="F860" s="124"/>
      <c r="G860" s="124"/>
      <c r="H860" s="124"/>
      <c r="I860" s="124"/>
      <c r="J860" s="124"/>
      <c r="K860" s="575"/>
      <c r="L860" s="575"/>
      <c r="M860" s="575"/>
      <c r="N860" s="124"/>
    </row>
    <row r="861" spans="4:14" ht="14.4" customHeight="1" x14ac:dyDescent="0.3">
      <c r="D861" s="124"/>
      <c r="E861" s="124"/>
      <c r="F861" s="124"/>
      <c r="G861" s="124"/>
      <c r="H861" s="124"/>
      <c r="I861" s="124"/>
      <c r="J861" s="124"/>
      <c r="K861" s="575"/>
      <c r="L861" s="575"/>
      <c r="M861" s="575"/>
      <c r="N861" s="124"/>
    </row>
    <row r="862" spans="4:14" ht="14.4" customHeight="1" x14ac:dyDescent="0.3">
      <c r="D862" s="124"/>
      <c r="E862" s="124"/>
      <c r="F862" s="124"/>
      <c r="G862" s="124"/>
      <c r="H862" s="124"/>
      <c r="I862" s="124"/>
      <c r="J862" s="124"/>
      <c r="K862" s="575"/>
      <c r="L862" s="575"/>
      <c r="M862" s="575"/>
      <c r="N862" s="124"/>
    </row>
    <row r="863" spans="4:14" ht="14.4" customHeight="1" x14ac:dyDescent="0.3">
      <c r="D863" s="124"/>
      <c r="E863" s="124"/>
      <c r="F863" s="124"/>
      <c r="G863" s="124"/>
      <c r="H863" s="124"/>
      <c r="I863" s="124"/>
      <c r="J863" s="124"/>
      <c r="K863" s="575"/>
      <c r="L863" s="575"/>
      <c r="M863" s="575"/>
      <c r="N863" s="124"/>
    </row>
    <row r="864" spans="4:14" ht="14.4" customHeight="1" x14ac:dyDescent="0.3">
      <c r="D864" s="124"/>
      <c r="E864" s="124"/>
      <c r="F864" s="124"/>
      <c r="G864" s="124"/>
      <c r="H864" s="124"/>
      <c r="I864" s="124"/>
      <c r="J864" s="124"/>
      <c r="K864" s="575"/>
      <c r="L864" s="575"/>
      <c r="M864" s="575"/>
      <c r="N864" s="124"/>
    </row>
    <row r="865" spans="4:14" ht="14.4" customHeight="1" x14ac:dyDescent="0.3">
      <c r="D865" s="124"/>
      <c r="E865" s="124"/>
      <c r="F865" s="124"/>
      <c r="G865" s="124"/>
      <c r="H865" s="124"/>
      <c r="I865" s="124"/>
      <c r="J865" s="124"/>
      <c r="K865" s="575"/>
      <c r="L865" s="575"/>
      <c r="M865" s="575"/>
      <c r="N865" s="124"/>
    </row>
    <row r="866" spans="4:14" ht="14.4" customHeight="1" x14ac:dyDescent="0.3">
      <c r="D866" s="124"/>
      <c r="E866" s="124"/>
      <c r="F866" s="124"/>
      <c r="G866" s="124"/>
      <c r="H866" s="124"/>
      <c r="I866" s="124"/>
      <c r="J866" s="124"/>
      <c r="K866" s="575"/>
      <c r="L866" s="575"/>
      <c r="M866" s="575"/>
      <c r="N866" s="124"/>
    </row>
    <row r="867" spans="4:14" ht="14.4" customHeight="1" x14ac:dyDescent="0.3">
      <c r="D867" s="124"/>
      <c r="E867" s="124"/>
      <c r="F867" s="124"/>
      <c r="G867" s="124"/>
      <c r="H867" s="124"/>
      <c r="I867" s="124"/>
      <c r="J867" s="124"/>
      <c r="K867" s="575"/>
      <c r="L867" s="575"/>
      <c r="M867" s="575"/>
      <c r="N867" s="124"/>
    </row>
    <row r="868" spans="4:14" ht="14.4" customHeight="1" x14ac:dyDescent="0.3">
      <c r="D868" s="124"/>
      <c r="E868" s="124"/>
      <c r="F868" s="124"/>
      <c r="G868" s="124"/>
      <c r="H868" s="124"/>
      <c r="I868" s="124"/>
      <c r="J868" s="124"/>
      <c r="K868" s="575"/>
      <c r="L868" s="575"/>
      <c r="M868" s="575"/>
      <c r="N868" s="124"/>
    </row>
    <row r="869" spans="4:14" ht="14.4" customHeight="1" x14ac:dyDescent="0.3">
      <c r="D869" s="124"/>
      <c r="E869" s="124"/>
      <c r="F869" s="124"/>
      <c r="G869" s="124"/>
      <c r="H869" s="124"/>
      <c r="I869" s="124"/>
      <c r="J869" s="124"/>
      <c r="K869" s="575"/>
      <c r="L869" s="575"/>
      <c r="M869" s="575"/>
      <c r="N869" s="124"/>
    </row>
    <row r="870" spans="4:14" ht="14.4" customHeight="1" x14ac:dyDescent="0.3">
      <c r="D870" s="124"/>
      <c r="E870" s="124"/>
      <c r="F870" s="124"/>
      <c r="G870" s="124"/>
      <c r="H870" s="124"/>
      <c r="I870" s="124"/>
      <c r="J870" s="124"/>
      <c r="K870" s="575"/>
      <c r="L870" s="575"/>
      <c r="M870" s="575"/>
      <c r="N870" s="124"/>
    </row>
    <row r="871" spans="4:14" ht="14.4" customHeight="1" x14ac:dyDescent="0.3">
      <c r="D871" s="124"/>
      <c r="E871" s="124"/>
      <c r="F871" s="124"/>
      <c r="G871" s="124"/>
      <c r="H871" s="124"/>
      <c r="I871" s="124"/>
      <c r="J871" s="124"/>
      <c r="K871" s="575"/>
      <c r="L871" s="575"/>
      <c r="M871" s="575"/>
      <c r="N871" s="124"/>
    </row>
    <row r="872" spans="4:14" ht="14.4" customHeight="1" x14ac:dyDescent="0.3">
      <c r="D872" s="124"/>
      <c r="E872" s="124"/>
      <c r="F872" s="124"/>
      <c r="G872" s="124"/>
      <c r="H872" s="124"/>
      <c r="I872" s="124"/>
      <c r="J872" s="124"/>
      <c r="K872" s="575"/>
      <c r="L872" s="575"/>
      <c r="M872" s="575"/>
      <c r="N872" s="124"/>
    </row>
    <row r="873" spans="4:14" ht="14.4" customHeight="1" x14ac:dyDescent="0.3">
      <c r="D873" s="124"/>
      <c r="E873" s="124"/>
      <c r="F873" s="124"/>
      <c r="G873" s="124"/>
      <c r="H873" s="124"/>
      <c r="I873" s="124"/>
      <c r="J873" s="124"/>
      <c r="K873" s="575"/>
      <c r="L873" s="575"/>
      <c r="M873" s="575"/>
      <c r="N873" s="124"/>
    </row>
    <row r="874" spans="4:14" ht="14.4" customHeight="1" x14ac:dyDescent="0.3">
      <c r="D874" s="124"/>
      <c r="E874" s="124"/>
      <c r="F874" s="124"/>
      <c r="G874" s="124"/>
      <c r="H874" s="124"/>
      <c r="I874" s="124"/>
      <c r="J874" s="124"/>
      <c r="K874" s="575"/>
      <c r="L874" s="575"/>
      <c r="M874" s="575"/>
      <c r="N874" s="124"/>
    </row>
    <row r="875" spans="4:14" ht="14.4" customHeight="1" x14ac:dyDescent="0.3">
      <c r="D875" s="124"/>
      <c r="E875" s="124"/>
      <c r="F875" s="124"/>
      <c r="G875" s="124"/>
      <c r="H875" s="124"/>
      <c r="I875" s="124"/>
      <c r="J875" s="124"/>
      <c r="K875" s="575"/>
      <c r="L875" s="575"/>
      <c r="M875" s="575"/>
      <c r="N875" s="124"/>
    </row>
    <row r="876" spans="4:14" ht="14.4" customHeight="1" x14ac:dyDescent="0.3">
      <c r="D876" s="124"/>
      <c r="E876" s="124"/>
      <c r="F876" s="124"/>
      <c r="G876" s="124"/>
      <c r="H876" s="124"/>
      <c r="I876" s="124"/>
      <c r="J876" s="124"/>
      <c r="K876" s="575"/>
      <c r="L876" s="575"/>
      <c r="M876" s="575"/>
      <c r="N876" s="124"/>
    </row>
    <row r="877" spans="4:14" ht="14.4" customHeight="1" x14ac:dyDescent="0.3">
      <c r="D877" s="124"/>
      <c r="E877" s="124"/>
      <c r="F877" s="124"/>
      <c r="G877" s="124"/>
      <c r="H877" s="124"/>
      <c r="I877" s="124"/>
      <c r="J877" s="124"/>
      <c r="K877" s="575"/>
      <c r="L877" s="575"/>
      <c r="M877" s="575"/>
      <c r="N877" s="124"/>
    </row>
    <row r="878" spans="4:14" ht="14.4" customHeight="1" x14ac:dyDescent="0.3">
      <c r="D878" s="124"/>
      <c r="E878" s="124"/>
      <c r="F878" s="124"/>
      <c r="G878" s="124"/>
      <c r="H878" s="124"/>
      <c r="I878" s="124"/>
      <c r="J878" s="124"/>
      <c r="K878" s="575"/>
      <c r="L878" s="575"/>
      <c r="M878" s="575"/>
      <c r="N878" s="124"/>
    </row>
  </sheetData>
  <autoFilter ref="A1:M878"/>
  <mergeCells count="11">
    <mergeCell ref="A5:M5"/>
    <mergeCell ref="F10:I10"/>
    <mergeCell ref="A8:A9"/>
    <mergeCell ref="B8:B9"/>
    <mergeCell ref="J8:J9"/>
    <mergeCell ref="F8:I9"/>
    <mergeCell ref="E8:E9"/>
    <mergeCell ref="D8:D9"/>
    <mergeCell ref="C8:C9"/>
    <mergeCell ref="K8:K9"/>
    <mergeCell ref="L8:M8"/>
  </mergeCells>
  <printOptions horizontalCentered="1"/>
  <pageMargins left="1.1811023622047245" right="0.39370078740157483" top="0.78740157480314965" bottom="0.78740157480314965" header="0.31496062992125984" footer="0.31496062992125984"/>
  <pageSetup paperSize="9" scale="66" fitToHeight="0" orientation="portrait" blackAndWhite="1" r:id="rId1"/>
  <headerFooter differentFirst="1">
    <oddHeader>&amp;C&amp;"Times New Roman,обычный"&amp;12&amp;P</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S634"/>
  <sheetViews>
    <sheetView zoomScale="80" zoomScaleNormal="80" zoomScaleSheetLayoutView="70" workbookViewId="0">
      <selection activeCell="R646" sqref="R646"/>
    </sheetView>
  </sheetViews>
  <sheetFormatPr defaultColWidth="8.88671875" defaultRowHeight="14.4" x14ac:dyDescent="0.3"/>
  <cols>
    <col min="1" max="1" width="4.6640625" style="46" customWidth="1"/>
    <col min="2" max="2" width="54.44140625" style="46" customWidth="1"/>
    <col min="3" max="3" width="5.5546875" style="46" customWidth="1"/>
    <col min="4" max="4" width="3.6640625" style="46" customWidth="1"/>
    <col min="5" max="5" width="4" style="46" customWidth="1"/>
    <col min="6" max="6" width="3.33203125" style="46" customWidth="1"/>
    <col min="7" max="7" width="2.44140625" style="46" customWidth="1"/>
    <col min="8" max="8" width="2.6640625" style="46" customWidth="1"/>
    <col min="9" max="9" width="7.6640625" style="46" customWidth="1"/>
    <col min="10" max="10" width="5" style="46" customWidth="1"/>
    <col min="11" max="11" width="14" style="46" hidden="1" customWidth="1"/>
    <col min="12" max="12" width="12.6640625" style="46" customWidth="1"/>
    <col min="13" max="14" width="13.33203125" style="75" customWidth="1"/>
    <col min="15" max="15" width="8.88671875" style="46" customWidth="1"/>
    <col min="16" max="16" width="12.44140625" style="46" bestFit="1" customWidth="1"/>
    <col min="17" max="17" width="9.33203125" style="46" bestFit="1" customWidth="1"/>
    <col min="18" max="18" width="12.44140625" style="46" bestFit="1" customWidth="1"/>
    <col min="19" max="19" width="9.33203125" style="46" bestFit="1" customWidth="1"/>
    <col min="20" max="16384" width="8.88671875" style="46"/>
  </cols>
  <sheetData>
    <row r="1" spans="1:14" ht="18" x14ac:dyDescent="0.35">
      <c r="N1" s="205" t="s">
        <v>530</v>
      </c>
    </row>
    <row r="2" spans="1:14" ht="18" x14ac:dyDescent="0.35">
      <c r="M2" s="164"/>
      <c r="N2" s="205" t="s">
        <v>695</v>
      </c>
    </row>
    <row r="3" spans="1:14" x14ac:dyDescent="0.3">
      <c r="M3" s="164"/>
      <c r="N3" s="164"/>
    </row>
    <row r="4" spans="1:14" x14ac:dyDescent="0.3">
      <c r="M4" s="164"/>
      <c r="N4" s="164"/>
    </row>
    <row r="5" spans="1:14" x14ac:dyDescent="0.3">
      <c r="M5" s="164"/>
      <c r="N5" s="164"/>
    </row>
    <row r="6" spans="1:14" ht="17.399999999999999" customHeight="1" x14ac:dyDescent="0.3">
      <c r="A6" s="836" t="s">
        <v>628</v>
      </c>
      <c r="B6" s="836"/>
      <c r="C6" s="836"/>
      <c r="D6" s="836"/>
      <c r="E6" s="836"/>
      <c r="F6" s="836"/>
      <c r="G6" s="836"/>
      <c r="H6" s="836"/>
      <c r="I6" s="836"/>
      <c r="J6" s="836"/>
      <c r="K6" s="836"/>
      <c r="L6" s="836"/>
      <c r="M6" s="836"/>
      <c r="N6" s="836"/>
    </row>
    <row r="7" spans="1:14" ht="17.399999999999999" customHeight="1" x14ac:dyDescent="0.3">
      <c r="A7" s="798"/>
      <c r="B7" s="798"/>
      <c r="C7" s="798"/>
      <c r="D7" s="798"/>
      <c r="E7" s="798"/>
      <c r="F7" s="798"/>
      <c r="G7" s="798"/>
      <c r="H7" s="798"/>
      <c r="I7" s="798"/>
      <c r="J7" s="798"/>
      <c r="K7" s="798"/>
      <c r="L7" s="798"/>
      <c r="M7" s="798"/>
      <c r="N7" s="798"/>
    </row>
    <row r="8" spans="1:14" ht="17.399999999999999" customHeight="1" x14ac:dyDescent="0.3">
      <c r="A8" s="798"/>
      <c r="B8" s="798"/>
      <c r="C8" s="798"/>
      <c r="D8" s="798"/>
      <c r="E8" s="798"/>
      <c r="F8" s="798"/>
      <c r="G8" s="798"/>
      <c r="H8" s="798"/>
      <c r="I8" s="798"/>
      <c r="J8" s="798"/>
      <c r="K8" s="798"/>
      <c r="L8" s="798"/>
      <c r="M8" s="798"/>
      <c r="N8" s="798"/>
    </row>
    <row r="9" spans="1:14" ht="18" x14ac:dyDescent="0.35">
      <c r="A9" s="47"/>
      <c r="B9" s="48"/>
      <c r="C9" s="49"/>
      <c r="D9" s="49"/>
      <c r="E9" s="49"/>
      <c r="F9" s="49"/>
      <c r="G9" s="47"/>
      <c r="H9" s="50"/>
      <c r="I9" s="51"/>
      <c r="J9" s="52"/>
      <c r="K9" s="52"/>
      <c r="L9" s="52"/>
      <c r="M9" s="164"/>
      <c r="N9" s="165" t="s">
        <v>21</v>
      </c>
    </row>
    <row r="10" spans="1:14" ht="18" customHeight="1" x14ac:dyDescent="0.3">
      <c r="A10" s="856" t="s">
        <v>22</v>
      </c>
      <c r="B10" s="857" t="s">
        <v>23</v>
      </c>
      <c r="C10" s="858" t="s">
        <v>24</v>
      </c>
      <c r="D10" s="858" t="s">
        <v>25</v>
      </c>
      <c r="E10" s="858" t="s">
        <v>26</v>
      </c>
      <c r="F10" s="859" t="s">
        <v>27</v>
      </c>
      <c r="G10" s="858"/>
      <c r="H10" s="858"/>
      <c r="I10" s="858"/>
      <c r="J10" s="858" t="s">
        <v>28</v>
      </c>
      <c r="K10" s="862" t="s">
        <v>666</v>
      </c>
      <c r="L10" s="860" t="s">
        <v>578</v>
      </c>
      <c r="M10" s="860"/>
      <c r="N10" s="860" t="s">
        <v>621</v>
      </c>
    </row>
    <row r="11" spans="1:14" ht="36" customHeight="1" x14ac:dyDescent="0.35">
      <c r="A11" s="856"/>
      <c r="B11" s="857"/>
      <c r="C11" s="858"/>
      <c r="D11" s="858"/>
      <c r="E11" s="858"/>
      <c r="F11" s="859"/>
      <c r="G11" s="858"/>
      <c r="H11" s="858"/>
      <c r="I11" s="858"/>
      <c r="J11" s="858"/>
      <c r="K11" s="863"/>
      <c r="L11" s="758" t="s">
        <v>667</v>
      </c>
      <c r="M11" s="759" t="s">
        <v>693</v>
      </c>
      <c r="N11" s="861"/>
    </row>
    <row r="12" spans="1:14" ht="18" x14ac:dyDescent="0.35">
      <c r="A12" s="53">
        <v>1</v>
      </c>
      <c r="B12" s="54">
        <v>2</v>
      </c>
      <c r="C12" s="55" t="s">
        <v>29</v>
      </c>
      <c r="D12" s="55" t="s">
        <v>30</v>
      </c>
      <c r="E12" s="55" t="s">
        <v>31</v>
      </c>
      <c r="F12" s="838" t="s">
        <v>32</v>
      </c>
      <c r="G12" s="838"/>
      <c r="H12" s="838"/>
      <c r="I12" s="839"/>
      <c r="J12" s="55" t="s">
        <v>33</v>
      </c>
      <c r="K12" s="55"/>
      <c r="L12" s="55" t="s">
        <v>694</v>
      </c>
      <c r="M12" s="76">
        <v>9</v>
      </c>
      <c r="N12" s="76">
        <v>10</v>
      </c>
    </row>
    <row r="13" spans="1:14" ht="18" x14ac:dyDescent="0.3">
      <c r="A13" s="56">
        <v>1</v>
      </c>
      <c r="B13" s="166" t="s">
        <v>200</v>
      </c>
      <c r="C13" s="58"/>
      <c r="D13" s="59"/>
      <c r="E13" s="59"/>
      <c r="F13" s="61"/>
      <c r="G13" s="61"/>
      <c r="H13" s="61"/>
      <c r="I13" s="62"/>
      <c r="J13" s="59"/>
      <c r="K13" s="159">
        <f>K14+K161+K195+K205+K393+K449+K501+K533+K566+K264</f>
        <v>2056898.6999999997</v>
      </c>
      <c r="L13" s="159">
        <f>L14+L161+L195+L205+L393+L449+L501+L533+L566+L264</f>
        <v>22661.700000000004</v>
      </c>
      <c r="M13" s="159">
        <f>M14+M161+M195+M205+M393+M449+M501+M533+M566+M264</f>
        <v>2079560.3999999997</v>
      </c>
      <c r="N13" s="159">
        <f>N14+N161+N195+N205+N393+N449+N501+N533+N566+N264</f>
        <v>2148415</v>
      </c>
    </row>
    <row r="14" spans="1:14" s="167" customFormat="1" ht="34.799999999999997" x14ac:dyDescent="0.3">
      <c r="A14" s="162">
        <v>1</v>
      </c>
      <c r="B14" s="656" t="s">
        <v>0</v>
      </c>
      <c r="C14" s="63" t="s">
        <v>1</v>
      </c>
      <c r="D14" s="64"/>
      <c r="E14" s="64"/>
      <c r="F14" s="65"/>
      <c r="G14" s="66"/>
      <c r="H14" s="66"/>
      <c r="I14" s="67"/>
      <c r="J14" s="64"/>
      <c r="K14" s="77">
        <f>K15+K81+K109+K147+K140</f>
        <v>220509.39999999997</v>
      </c>
      <c r="L14" s="77">
        <f>L15+L81+L109+L147+L140</f>
        <v>0</v>
      </c>
      <c r="M14" s="77">
        <f>M15+M81+M109+M147+M140</f>
        <v>220509.39999999997</v>
      </c>
      <c r="N14" s="77">
        <f>N15+N81+N109+N147+N140</f>
        <v>211840.69999999998</v>
      </c>
    </row>
    <row r="15" spans="1:14" s="168" customFormat="1" ht="18" x14ac:dyDescent="0.35">
      <c r="A15" s="56"/>
      <c r="B15" s="610" t="s">
        <v>35</v>
      </c>
      <c r="C15" s="68" t="s">
        <v>1</v>
      </c>
      <c r="D15" s="55" t="s">
        <v>36</v>
      </c>
      <c r="E15" s="55"/>
      <c r="F15" s="799"/>
      <c r="G15" s="800"/>
      <c r="H15" s="800"/>
      <c r="I15" s="801"/>
      <c r="J15" s="55"/>
      <c r="K15" s="69">
        <f>K16+K22+K46+K40+K51</f>
        <v>170538.8</v>
      </c>
      <c r="L15" s="69">
        <f t="shared" ref="L15" si="0">L16+L22+L46+L40+L51</f>
        <v>0</v>
      </c>
      <c r="M15" s="69">
        <f>M16+M22+M46+M40+M51</f>
        <v>170538.8</v>
      </c>
      <c r="N15" s="69">
        <f>N16+N22+N46+N40+N51</f>
        <v>161448.5</v>
      </c>
    </row>
    <row r="16" spans="1:14" s="163" customFormat="1" ht="54" x14ac:dyDescent="0.35">
      <c r="A16" s="56"/>
      <c r="B16" s="610" t="s">
        <v>37</v>
      </c>
      <c r="C16" s="68" t="s">
        <v>1</v>
      </c>
      <c r="D16" s="55" t="s">
        <v>36</v>
      </c>
      <c r="E16" s="55" t="s">
        <v>38</v>
      </c>
      <c r="F16" s="799"/>
      <c r="G16" s="800"/>
      <c r="H16" s="800"/>
      <c r="I16" s="801"/>
      <c r="J16" s="55"/>
      <c r="K16" s="69">
        <f t="shared" ref="K16:N20" si="1">K17</f>
        <v>2716.7</v>
      </c>
      <c r="L16" s="69">
        <f t="shared" si="1"/>
        <v>0</v>
      </c>
      <c r="M16" s="69">
        <f t="shared" si="1"/>
        <v>2716.7</v>
      </c>
      <c r="N16" s="69">
        <f t="shared" si="1"/>
        <v>2716.7</v>
      </c>
    </row>
    <row r="17" spans="1:14" s="163" customFormat="1" ht="54" x14ac:dyDescent="0.35">
      <c r="A17" s="56"/>
      <c r="B17" s="610" t="s">
        <v>39</v>
      </c>
      <c r="C17" s="68" t="s">
        <v>1</v>
      </c>
      <c r="D17" s="55" t="s">
        <v>36</v>
      </c>
      <c r="E17" s="55" t="s">
        <v>38</v>
      </c>
      <c r="F17" s="799" t="s">
        <v>40</v>
      </c>
      <c r="G17" s="800" t="s">
        <v>41</v>
      </c>
      <c r="H17" s="800" t="s">
        <v>42</v>
      </c>
      <c r="I17" s="801" t="s">
        <v>43</v>
      </c>
      <c r="J17" s="55"/>
      <c r="K17" s="69">
        <f t="shared" si="1"/>
        <v>2716.7</v>
      </c>
      <c r="L17" s="69">
        <f t="shared" si="1"/>
        <v>0</v>
      </c>
      <c r="M17" s="69">
        <f t="shared" si="1"/>
        <v>2716.7</v>
      </c>
      <c r="N17" s="69">
        <f t="shared" si="1"/>
        <v>2716.7</v>
      </c>
    </row>
    <row r="18" spans="1:14" s="163" customFormat="1" ht="36" x14ac:dyDescent="0.35">
      <c r="A18" s="56"/>
      <c r="B18" s="610" t="s">
        <v>359</v>
      </c>
      <c r="C18" s="68" t="s">
        <v>1</v>
      </c>
      <c r="D18" s="55" t="s">
        <v>36</v>
      </c>
      <c r="E18" s="55" t="s">
        <v>38</v>
      </c>
      <c r="F18" s="799" t="s">
        <v>40</v>
      </c>
      <c r="G18" s="800" t="s">
        <v>44</v>
      </c>
      <c r="H18" s="800" t="s">
        <v>42</v>
      </c>
      <c r="I18" s="801" t="s">
        <v>43</v>
      </c>
      <c r="J18" s="55"/>
      <c r="K18" s="69">
        <f t="shared" si="1"/>
        <v>2716.7</v>
      </c>
      <c r="L18" s="69">
        <f t="shared" si="1"/>
        <v>0</v>
      </c>
      <c r="M18" s="69">
        <f t="shared" si="1"/>
        <v>2716.7</v>
      </c>
      <c r="N18" s="69">
        <f t="shared" si="1"/>
        <v>2716.7</v>
      </c>
    </row>
    <row r="19" spans="1:14" s="163" customFormat="1" ht="54" x14ac:dyDescent="0.35">
      <c r="A19" s="56"/>
      <c r="B19" s="610" t="s">
        <v>45</v>
      </c>
      <c r="C19" s="68" t="s">
        <v>1</v>
      </c>
      <c r="D19" s="55" t="s">
        <v>36</v>
      </c>
      <c r="E19" s="55" t="s">
        <v>38</v>
      </c>
      <c r="F19" s="799" t="s">
        <v>40</v>
      </c>
      <c r="G19" s="800" t="s">
        <v>44</v>
      </c>
      <c r="H19" s="800" t="s">
        <v>36</v>
      </c>
      <c r="I19" s="801" t="s">
        <v>43</v>
      </c>
      <c r="J19" s="55"/>
      <c r="K19" s="69">
        <f t="shared" si="1"/>
        <v>2716.7</v>
      </c>
      <c r="L19" s="69">
        <f t="shared" si="1"/>
        <v>0</v>
      </c>
      <c r="M19" s="69">
        <f t="shared" si="1"/>
        <v>2716.7</v>
      </c>
      <c r="N19" s="69">
        <f t="shared" si="1"/>
        <v>2716.7</v>
      </c>
    </row>
    <row r="20" spans="1:14" s="163" customFormat="1" ht="36" x14ac:dyDescent="0.35">
      <c r="A20" s="56"/>
      <c r="B20" s="610" t="s">
        <v>46</v>
      </c>
      <c r="C20" s="68" t="s">
        <v>1</v>
      </c>
      <c r="D20" s="55" t="s">
        <v>36</v>
      </c>
      <c r="E20" s="55" t="s">
        <v>38</v>
      </c>
      <c r="F20" s="799" t="s">
        <v>40</v>
      </c>
      <c r="G20" s="800" t="s">
        <v>44</v>
      </c>
      <c r="H20" s="800" t="s">
        <v>36</v>
      </c>
      <c r="I20" s="801" t="s">
        <v>47</v>
      </c>
      <c r="J20" s="55"/>
      <c r="K20" s="69">
        <f t="shared" si="1"/>
        <v>2716.7</v>
      </c>
      <c r="L20" s="69">
        <f t="shared" si="1"/>
        <v>0</v>
      </c>
      <c r="M20" s="69">
        <f t="shared" si="1"/>
        <v>2716.7</v>
      </c>
      <c r="N20" s="69">
        <f t="shared" si="1"/>
        <v>2716.7</v>
      </c>
    </row>
    <row r="21" spans="1:14" s="163" customFormat="1" ht="108" x14ac:dyDescent="0.35">
      <c r="A21" s="56"/>
      <c r="B21" s="610" t="s">
        <v>48</v>
      </c>
      <c r="C21" s="68" t="s">
        <v>1</v>
      </c>
      <c r="D21" s="55" t="s">
        <v>36</v>
      </c>
      <c r="E21" s="55" t="s">
        <v>38</v>
      </c>
      <c r="F21" s="799" t="s">
        <v>40</v>
      </c>
      <c r="G21" s="800" t="s">
        <v>44</v>
      </c>
      <c r="H21" s="800" t="s">
        <v>36</v>
      </c>
      <c r="I21" s="801" t="s">
        <v>47</v>
      </c>
      <c r="J21" s="55" t="s">
        <v>49</v>
      </c>
      <c r="K21" s="69">
        <v>2716.7</v>
      </c>
      <c r="L21" s="69">
        <f>M21-K21</f>
        <v>0</v>
      </c>
      <c r="M21" s="69">
        <v>2716.7</v>
      </c>
      <c r="N21" s="69">
        <v>2716.7</v>
      </c>
    </row>
    <row r="22" spans="1:14" s="168" customFormat="1" ht="72" x14ac:dyDescent="0.35">
      <c r="A22" s="56"/>
      <c r="B22" s="610" t="s">
        <v>669</v>
      </c>
      <c r="C22" s="68" t="s">
        <v>1</v>
      </c>
      <c r="D22" s="55" t="s">
        <v>36</v>
      </c>
      <c r="E22" s="55" t="s">
        <v>50</v>
      </c>
      <c r="F22" s="799"/>
      <c r="G22" s="800"/>
      <c r="H22" s="800"/>
      <c r="I22" s="801"/>
      <c r="J22" s="55"/>
      <c r="K22" s="69">
        <f t="shared" ref="K22:N24" si="2">K23</f>
        <v>87997.5</v>
      </c>
      <c r="L22" s="69">
        <f t="shared" si="2"/>
        <v>-108</v>
      </c>
      <c r="M22" s="69">
        <f t="shared" si="2"/>
        <v>87889.5</v>
      </c>
      <c r="N22" s="69">
        <f t="shared" si="2"/>
        <v>87889.5</v>
      </c>
    </row>
    <row r="23" spans="1:14" s="168" customFormat="1" ht="54" x14ac:dyDescent="0.35">
      <c r="A23" s="56"/>
      <c r="B23" s="610" t="s">
        <v>51</v>
      </c>
      <c r="C23" s="68" t="s">
        <v>1</v>
      </c>
      <c r="D23" s="55" t="s">
        <v>36</v>
      </c>
      <c r="E23" s="55" t="s">
        <v>50</v>
      </c>
      <c r="F23" s="799" t="s">
        <v>40</v>
      </c>
      <c r="G23" s="800" t="s">
        <v>41</v>
      </c>
      <c r="H23" s="800" t="s">
        <v>42</v>
      </c>
      <c r="I23" s="801" t="s">
        <v>43</v>
      </c>
      <c r="J23" s="55"/>
      <c r="K23" s="69">
        <f t="shared" si="2"/>
        <v>87997.5</v>
      </c>
      <c r="L23" s="69">
        <f t="shared" si="2"/>
        <v>-108</v>
      </c>
      <c r="M23" s="69">
        <f t="shared" si="2"/>
        <v>87889.5</v>
      </c>
      <c r="N23" s="69">
        <f t="shared" si="2"/>
        <v>87889.5</v>
      </c>
    </row>
    <row r="24" spans="1:14" s="52" customFormat="1" ht="36" x14ac:dyDescent="0.35">
      <c r="A24" s="56"/>
      <c r="B24" s="610" t="s">
        <v>359</v>
      </c>
      <c r="C24" s="68" t="s">
        <v>1</v>
      </c>
      <c r="D24" s="55" t="s">
        <v>36</v>
      </c>
      <c r="E24" s="55" t="s">
        <v>50</v>
      </c>
      <c r="F24" s="799" t="s">
        <v>40</v>
      </c>
      <c r="G24" s="800" t="s">
        <v>44</v>
      </c>
      <c r="H24" s="800" t="s">
        <v>42</v>
      </c>
      <c r="I24" s="801" t="s">
        <v>43</v>
      </c>
      <c r="J24" s="55"/>
      <c r="K24" s="69">
        <f>K25</f>
        <v>87997.5</v>
      </c>
      <c r="L24" s="69">
        <f t="shared" si="2"/>
        <v>-108</v>
      </c>
      <c r="M24" s="69">
        <f>M25</f>
        <v>87889.5</v>
      </c>
      <c r="N24" s="69">
        <f>N25</f>
        <v>87889.5</v>
      </c>
    </row>
    <row r="25" spans="1:14" s="52" customFormat="1" ht="36" x14ac:dyDescent="0.35">
      <c r="A25" s="56"/>
      <c r="B25" s="610" t="s">
        <v>52</v>
      </c>
      <c r="C25" s="68" t="s">
        <v>1</v>
      </c>
      <c r="D25" s="55" t="s">
        <v>36</v>
      </c>
      <c r="E25" s="55" t="s">
        <v>50</v>
      </c>
      <c r="F25" s="799" t="s">
        <v>40</v>
      </c>
      <c r="G25" s="800" t="s">
        <v>44</v>
      </c>
      <c r="H25" s="800" t="s">
        <v>38</v>
      </c>
      <c r="I25" s="801" t="s">
        <v>43</v>
      </c>
      <c r="J25" s="55"/>
      <c r="K25" s="69">
        <f>K26+K32+K34+K30+K37</f>
        <v>87997.5</v>
      </c>
      <c r="L25" s="69">
        <f t="shared" ref="L25" si="3">L26+L32+L34+L30+L37</f>
        <v>-108</v>
      </c>
      <c r="M25" s="69">
        <f>M26+M32+M34+M30+M37</f>
        <v>87889.5</v>
      </c>
      <c r="N25" s="69">
        <f>N26+N32+N34+N30+N37</f>
        <v>87889.5</v>
      </c>
    </row>
    <row r="26" spans="1:14" s="163" customFormat="1" ht="36" x14ac:dyDescent="0.35">
      <c r="A26" s="56"/>
      <c r="B26" s="610" t="s">
        <v>46</v>
      </c>
      <c r="C26" s="68" t="s">
        <v>1</v>
      </c>
      <c r="D26" s="55" t="s">
        <v>36</v>
      </c>
      <c r="E26" s="55" t="s">
        <v>50</v>
      </c>
      <c r="F26" s="799" t="s">
        <v>40</v>
      </c>
      <c r="G26" s="800" t="s">
        <v>44</v>
      </c>
      <c r="H26" s="800" t="s">
        <v>38</v>
      </c>
      <c r="I26" s="801" t="s">
        <v>47</v>
      </c>
      <c r="J26" s="55"/>
      <c r="K26" s="69">
        <f>K27+K28+K29</f>
        <v>82165.5</v>
      </c>
      <c r="L26" s="69">
        <f t="shared" ref="L26" si="4">L27+L28+L29</f>
        <v>-108</v>
      </c>
      <c r="M26" s="69">
        <f>M27+M28+M29</f>
        <v>82057.5</v>
      </c>
      <c r="N26" s="69">
        <f>N27+N28+N29</f>
        <v>82057.5</v>
      </c>
    </row>
    <row r="27" spans="1:14" s="163" customFormat="1" ht="108" x14ac:dyDescent="0.35">
      <c r="A27" s="56"/>
      <c r="B27" s="610" t="s">
        <v>48</v>
      </c>
      <c r="C27" s="68" t="s">
        <v>1</v>
      </c>
      <c r="D27" s="55" t="s">
        <v>36</v>
      </c>
      <c r="E27" s="55" t="s">
        <v>50</v>
      </c>
      <c r="F27" s="799" t="s">
        <v>40</v>
      </c>
      <c r="G27" s="800" t="s">
        <v>44</v>
      </c>
      <c r="H27" s="800" t="s">
        <v>38</v>
      </c>
      <c r="I27" s="801" t="s">
        <v>47</v>
      </c>
      <c r="J27" s="55" t="s">
        <v>49</v>
      </c>
      <c r="K27" s="69">
        <v>81048.399999999994</v>
      </c>
      <c r="L27" s="69">
        <f>M27-K27</f>
        <v>0</v>
      </c>
      <c r="M27" s="69">
        <v>81048.399999999994</v>
      </c>
      <c r="N27" s="69">
        <v>81048.399999999994</v>
      </c>
    </row>
    <row r="28" spans="1:14" s="52" customFormat="1" ht="57" customHeight="1" x14ac:dyDescent="0.35">
      <c r="A28" s="56"/>
      <c r="B28" s="610" t="s">
        <v>53</v>
      </c>
      <c r="C28" s="68" t="s">
        <v>1</v>
      </c>
      <c r="D28" s="55" t="s">
        <v>36</v>
      </c>
      <c r="E28" s="55" t="s">
        <v>50</v>
      </c>
      <c r="F28" s="799" t="s">
        <v>40</v>
      </c>
      <c r="G28" s="800" t="s">
        <v>44</v>
      </c>
      <c r="H28" s="800" t="s">
        <v>38</v>
      </c>
      <c r="I28" s="801" t="s">
        <v>47</v>
      </c>
      <c r="J28" s="55" t="s">
        <v>54</v>
      </c>
      <c r="K28" s="69">
        <v>1056.8</v>
      </c>
      <c r="L28" s="69">
        <f>M28-K28</f>
        <v>-108</v>
      </c>
      <c r="M28" s="69">
        <f>1056.8-108</f>
        <v>948.8</v>
      </c>
      <c r="N28" s="69">
        <f>1056.8-108</f>
        <v>948.8</v>
      </c>
    </row>
    <row r="29" spans="1:14" s="163" customFormat="1" ht="18" x14ac:dyDescent="0.35">
      <c r="A29" s="56"/>
      <c r="B29" s="610" t="s">
        <v>55</v>
      </c>
      <c r="C29" s="68" t="s">
        <v>1</v>
      </c>
      <c r="D29" s="55" t="s">
        <v>36</v>
      </c>
      <c r="E29" s="55" t="s">
        <v>50</v>
      </c>
      <c r="F29" s="799" t="s">
        <v>40</v>
      </c>
      <c r="G29" s="800" t="s">
        <v>44</v>
      </c>
      <c r="H29" s="800" t="s">
        <v>38</v>
      </c>
      <c r="I29" s="801" t="s">
        <v>47</v>
      </c>
      <c r="J29" s="55" t="s">
        <v>56</v>
      </c>
      <c r="K29" s="69">
        <v>60.3</v>
      </c>
      <c r="L29" s="69">
        <f>M29-K29</f>
        <v>0</v>
      </c>
      <c r="M29" s="69">
        <v>60.3</v>
      </c>
      <c r="N29" s="69">
        <v>60.3</v>
      </c>
    </row>
    <row r="30" spans="1:14" s="168" customFormat="1" ht="216" customHeight="1" x14ac:dyDescent="0.35">
      <c r="A30" s="56"/>
      <c r="B30" s="610" t="s">
        <v>655</v>
      </c>
      <c r="C30" s="68" t="s">
        <v>1</v>
      </c>
      <c r="D30" s="55" t="s">
        <v>36</v>
      </c>
      <c r="E30" s="55" t="s">
        <v>50</v>
      </c>
      <c r="F30" s="799" t="s">
        <v>40</v>
      </c>
      <c r="G30" s="800" t="s">
        <v>44</v>
      </c>
      <c r="H30" s="800" t="s">
        <v>38</v>
      </c>
      <c r="I30" s="801" t="s">
        <v>279</v>
      </c>
      <c r="J30" s="55"/>
      <c r="K30" s="69">
        <f>K31</f>
        <v>63</v>
      </c>
      <c r="L30" s="69">
        <f t="shared" ref="L30" si="5">L31</f>
        <v>0</v>
      </c>
      <c r="M30" s="69">
        <f>M31</f>
        <v>63</v>
      </c>
      <c r="N30" s="69">
        <f>N31</f>
        <v>63</v>
      </c>
    </row>
    <row r="31" spans="1:14" s="168" customFormat="1" ht="52.95" customHeight="1" x14ac:dyDescent="0.35">
      <c r="A31" s="56"/>
      <c r="B31" s="610" t="s">
        <v>53</v>
      </c>
      <c r="C31" s="68" t="s">
        <v>1</v>
      </c>
      <c r="D31" s="55" t="s">
        <v>36</v>
      </c>
      <c r="E31" s="55" t="s">
        <v>50</v>
      </c>
      <c r="F31" s="799" t="s">
        <v>40</v>
      </c>
      <c r="G31" s="800" t="s">
        <v>44</v>
      </c>
      <c r="H31" s="800" t="s">
        <v>38</v>
      </c>
      <c r="I31" s="801" t="s">
        <v>279</v>
      </c>
      <c r="J31" s="55" t="s">
        <v>54</v>
      </c>
      <c r="K31" s="69">
        <v>63</v>
      </c>
      <c r="L31" s="69">
        <f>M31-K31</f>
        <v>0</v>
      </c>
      <c r="M31" s="69">
        <v>63</v>
      </c>
      <c r="N31" s="69">
        <v>63</v>
      </c>
    </row>
    <row r="32" spans="1:14" s="168" customFormat="1" ht="198" x14ac:dyDescent="0.35">
      <c r="A32" s="56"/>
      <c r="B32" s="657" t="s">
        <v>472</v>
      </c>
      <c r="C32" s="68" t="s">
        <v>1</v>
      </c>
      <c r="D32" s="55" t="s">
        <v>36</v>
      </c>
      <c r="E32" s="55" t="s">
        <v>50</v>
      </c>
      <c r="F32" s="799" t="s">
        <v>40</v>
      </c>
      <c r="G32" s="800" t="s">
        <v>44</v>
      </c>
      <c r="H32" s="800" t="s">
        <v>38</v>
      </c>
      <c r="I32" s="801" t="s">
        <v>57</v>
      </c>
      <c r="J32" s="55"/>
      <c r="K32" s="69">
        <f>K33</f>
        <v>775.8</v>
      </c>
      <c r="L32" s="69">
        <f t="shared" ref="L32" si="6">L33</f>
        <v>0</v>
      </c>
      <c r="M32" s="69">
        <f>M33</f>
        <v>775.8</v>
      </c>
      <c r="N32" s="69">
        <f>N33</f>
        <v>775.8</v>
      </c>
    </row>
    <row r="33" spans="1:14" s="168" customFormat="1" ht="108" x14ac:dyDescent="0.35">
      <c r="A33" s="56"/>
      <c r="B33" s="610" t="s">
        <v>48</v>
      </c>
      <c r="C33" s="68" t="s">
        <v>1</v>
      </c>
      <c r="D33" s="55" t="s">
        <v>36</v>
      </c>
      <c r="E33" s="55" t="s">
        <v>50</v>
      </c>
      <c r="F33" s="799" t="s">
        <v>40</v>
      </c>
      <c r="G33" s="800" t="s">
        <v>44</v>
      </c>
      <c r="H33" s="800" t="s">
        <v>38</v>
      </c>
      <c r="I33" s="801" t="s">
        <v>57</v>
      </c>
      <c r="J33" s="55" t="s">
        <v>49</v>
      </c>
      <c r="K33" s="69">
        <v>775.8</v>
      </c>
      <c r="L33" s="69">
        <f>M33-K33</f>
        <v>0</v>
      </c>
      <c r="M33" s="69">
        <v>775.8</v>
      </c>
      <c r="N33" s="69">
        <v>775.8</v>
      </c>
    </row>
    <row r="34" spans="1:14" s="168" customFormat="1" ht="72" x14ac:dyDescent="0.35">
      <c r="A34" s="56"/>
      <c r="B34" s="610" t="s">
        <v>430</v>
      </c>
      <c r="C34" s="68" t="s">
        <v>1</v>
      </c>
      <c r="D34" s="55" t="s">
        <v>36</v>
      </c>
      <c r="E34" s="55" t="s">
        <v>50</v>
      </c>
      <c r="F34" s="799" t="s">
        <v>40</v>
      </c>
      <c r="G34" s="800" t="s">
        <v>44</v>
      </c>
      <c r="H34" s="800" t="s">
        <v>38</v>
      </c>
      <c r="I34" s="801" t="s">
        <v>59</v>
      </c>
      <c r="J34" s="55"/>
      <c r="K34" s="69">
        <f>K35+K36</f>
        <v>776</v>
      </c>
      <c r="L34" s="69">
        <f t="shared" ref="L34" si="7">L35+L36</f>
        <v>0</v>
      </c>
      <c r="M34" s="69">
        <f>M35+M36</f>
        <v>776</v>
      </c>
      <c r="N34" s="69">
        <f>N35+N36</f>
        <v>776</v>
      </c>
    </row>
    <row r="35" spans="1:14" s="168" customFormat="1" ht="108" x14ac:dyDescent="0.35">
      <c r="A35" s="56"/>
      <c r="B35" s="610" t="s">
        <v>48</v>
      </c>
      <c r="C35" s="68" t="s">
        <v>1</v>
      </c>
      <c r="D35" s="55" t="s">
        <v>36</v>
      </c>
      <c r="E35" s="55" t="s">
        <v>50</v>
      </c>
      <c r="F35" s="799" t="s">
        <v>40</v>
      </c>
      <c r="G35" s="800" t="s">
        <v>44</v>
      </c>
      <c r="H35" s="800" t="s">
        <v>38</v>
      </c>
      <c r="I35" s="801" t="s">
        <v>59</v>
      </c>
      <c r="J35" s="55" t="s">
        <v>49</v>
      </c>
      <c r="K35" s="69">
        <v>771.8</v>
      </c>
      <c r="L35" s="69">
        <f>M35-K35</f>
        <v>0</v>
      </c>
      <c r="M35" s="69">
        <v>771.8</v>
      </c>
      <c r="N35" s="69">
        <v>771.8</v>
      </c>
    </row>
    <row r="36" spans="1:14" s="168" customFormat="1" ht="54" x14ac:dyDescent="0.35">
      <c r="A36" s="56"/>
      <c r="B36" s="610" t="s">
        <v>53</v>
      </c>
      <c r="C36" s="68" t="s">
        <v>1</v>
      </c>
      <c r="D36" s="55" t="s">
        <v>36</v>
      </c>
      <c r="E36" s="55" t="s">
        <v>50</v>
      </c>
      <c r="F36" s="799" t="s">
        <v>40</v>
      </c>
      <c r="G36" s="800" t="s">
        <v>44</v>
      </c>
      <c r="H36" s="800" t="s">
        <v>38</v>
      </c>
      <c r="I36" s="801" t="s">
        <v>59</v>
      </c>
      <c r="J36" s="55" t="s">
        <v>54</v>
      </c>
      <c r="K36" s="69">
        <v>4.2</v>
      </c>
      <c r="L36" s="69">
        <f>M36-K36</f>
        <v>0</v>
      </c>
      <c r="M36" s="69">
        <v>4.2</v>
      </c>
      <c r="N36" s="69">
        <v>4.2</v>
      </c>
    </row>
    <row r="37" spans="1:14" s="168" customFormat="1" ht="72" x14ac:dyDescent="0.35">
      <c r="A37" s="56"/>
      <c r="B37" s="610" t="s">
        <v>58</v>
      </c>
      <c r="C37" s="68" t="s">
        <v>1</v>
      </c>
      <c r="D37" s="55" t="s">
        <v>36</v>
      </c>
      <c r="E37" s="55" t="s">
        <v>50</v>
      </c>
      <c r="F37" s="799" t="s">
        <v>40</v>
      </c>
      <c r="G37" s="800" t="s">
        <v>44</v>
      </c>
      <c r="H37" s="800" t="s">
        <v>38</v>
      </c>
      <c r="I37" s="801" t="s">
        <v>545</v>
      </c>
      <c r="J37" s="55"/>
      <c r="K37" s="69">
        <f>SUM(K38:K39)</f>
        <v>4217.2</v>
      </c>
      <c r="L37" s="69">
        <f t="shared" ref="L37" si="8">SUM(L38:L39)</f>
        <v>0</v>
      </c>
      <c r="M37" s="69">
        <f>SUM(M38:M39)</f>
        <v>4217.2</v>
      </c>
      <c r="N37" s="69">
        <f>SUM(N38:N39)</f>
        <v>4217.2</v>
      </c>
    </row>
    <row r="38" spans="1:14" s="168" customFormat="1" ht="108" x14ac:dyDescent="0.35">
      <c r="A38" s="56"/>
      <c r="B38" s="610" t="s">
        <v>48</v>
      </c>
      <c r="C38" s="68" t="s">
        <v>1</v>
      </c>
      <c r="D38" s="55" t="s">
        <v>36</v>
      </c>
      <c r="E38" s="55" t="s">
        <v>50</v>
      </c>
      <c r="F38" s="799" t="s">
        <v>40</v>
      </c>
      <c r="G38" s="800" t="s">
        <v>44</v>
      </c>
      <c r="H38" s="800" t="s">
        <v>38</v>
      </c>
      <c r="I38" s="801" t="s">
        <v>545</v>
      </c>
      <c r="J38" s="55" t="s">
        <v>49</v>
      </c>
      <c r="K38" s="69">
        <v>4142.2</v>
      </c>
      <c r="L38" s="69">
        <f>M38-K38</f>
        <v>0</v>
      </c>
      <c r="M38" s="69">
        <v>4142.2</v>
      </c>
      <c r="N38" s="69">
        <v>4142.2</v>
      </c>
    </row>
    <row r="39" spans="1:14" s="168" customFormat="1" ht="54" x14ac:dyDescent="0.35">
      <c r="A39" s="56"/>
      <c r="B39" s="610" t="s">
        <v>53</v>
      </c>
      <c r="C39" s="68" t="s">
        <v>1</v>
      </c>
      <c r="D39" s="55" t="s">
        <v>36</v>
      </c>
      <c r="E39" s="55" t="s">
        <v>50</v>
      </c>
      <c r="F39" s="799" t="s">
        <v>40</v>
      </c>
      <c r="G39" s="800" t="s">
        <v>44</v>
      </c>
      <c r="H39" s="800" t="s">
        <v>38</v>
      </c>
      <c r="I39" s="801" t="s">
        <v>545</v>
      </c>
      <c r="J39" s="55" t="s">
        <v>54</v>
      </c>
      <c r="K39" s="69">
        <v>75</v>
      </c>
      <c r="L39" s="69">
        <f>M39-K39</f>
        <v>0</v>
      </c>
      <c r="M39" s="69">
        <v>75</v>
      </c>
      <c r="N39" s="69">
        <v>75</v>
      </c>
    </row>
    <row r="40" spans="1:14" s="52" customFormat="1" ht="18" x14ac:dyDescent="0.35">
      <c r="A40" s="56"/>
      <c r="B40" s="610" t="s">
        <v>405</v>
      </c>
      <c r="C40" s="68" t="s">
        <v>1</v>
      </c>
      <c r="D40" s="55" t="s">
        <v>36</v>
      </c>
      <c r="E40" s="55" t="s">
        <v>63</v>
      </c>
      <c r="F40" s="799"/>
      <c r="G40" s="800"/>
      <c r="H40" s="800"/>
      <c r="I40" s="801"/>
      <c r="J40" s="55"/>
      <c r="K40" s="69">
        <f t="shared" ref="K40:N44" si="9">K41</f>
        <v>8.9</v>
      </c>
      <c r="L40" s="69">
        <f t="shared" si="9"/>
        <v>0</v>
      </c>
      <c r="M40" s="69">
        <f t="shared" si="9"/>
        <v>8.9</v>
      </c>
      <c r="N40" s="69">
        <f t="shared" si="9"/>
        <v>85.9</v>
      </c>
    </row>
    <row r="41" spans="1:14" s="52" customFormat="1" ht="54" x14ac:dyDescent="0.35">
      <c r="A41" s="56"/>
      <c r="B41" s="610" t="s">
        <v>51</v>
      </c>
      <c r="C41" s="68" t="s">
        <v>1</v>
      </c>
      <c r="D41" s="55" t="s">
        <v>36</v>
      </c>
      <c r="E41" s="55" t="s">
        <v>63</v>
      </c>
      <c r="F41" s="799" t="s">
        <v>40</v>
      </c>
      <c r="G41" s="800" t="s">
        <v>41</v>
      </c>
      <c r="H41" s="800" t="s">
        <v>42</v>
      </c>
      <c r="I41" s="801" t="s">
        <v>43</v>
      </c>
      <c r="J41" s="55"/>
      <c r="K41" s="69">
        <f t="shared" si="9"/>
        <v>8.9</v>
      </c>
      <c r="L41" s="69">
        <f t="shared" si="9"/>
        <v>0</v>
      </c>
      <c r="M41" s="69">
        <f t="shared" si="9"/>
        <v>8.9</v>
      </c>
      <c r="N41" s="69">
        <f t="shared" si="9"/>
        <v>85.9</v>
      </c>
    </row>
    <row r="42" spans="1:14" s="52" customFormat="1" ht="36" x14ac:dyDescent="0.35">
      <c r="A42" s="56"/>
      <c r="B42" s="610" t="s">
        <v>359</v>
      </c>
      <c r="C42" s="68" t="s">
        <v>1</v>
      </c>
      <c r="D42" s="55" t="s">
        <v>36</v>
      </c>
      <c r="E42" s="55" t="s">
        <v>63</v>
      </c>
      <c r="F42" s="799" t="s">
        <v>40</v>
      </c>
      <c r="G42" s="800" t="s">
        <v>44</v>
      </c>
      <c r="H42" s="800" t="s">
        <v>42</v>
      </c>
      <c r="I42" s="801" t="s">
        <v>43</v>
      </c>
      <c r="J42" s="55"/>
      <c r="K42" s="69">
        <f t="shared" si="9"/>
        <v>8.9</v>
      </c>
      <c r="L42" s="69">
        <f t="shared" si="9"/>
        <v>0</v>
      </c>
      <c r="M42" s="69">
        <f t="shared" si="9"/>
        <v>8.9</v>
      </c>
      <c r="N42" s="69">
        <f t="shared" si="9"/>
        <v>85.9</v>
      </c>
    </row>
    <row r="43" spans="1:14" s="52" customFormat="1" ht="36" x14ac:dyDescent="0.35">
      <c r="A43" s="56"/>
      <c r="B43" s="610" t="s">
        <v>52</v>
      </c>
      <c r="C43" s="68" t="s">
        <v>1</v>
      </c>
      <c r="D43" s="55" t="s">
        <v>36</v>
      </c>
      <c r="E43" s="55" t="s">
        <v>63</v>
      </c>
      <c r="F43" s="799" t="s">
        <v>40</v>
      </c>
      <c r="G43" s="800" t="s">
        <v>44</v>
      </c>
      <c r="H43" s="800" t="s">
        <v>38</v>
      </c>
      <c r="I43" s="801" t="s">
        <v>43</v>
      </c>
      <c r="J43" s="55"/>
      <c r="K43" s="69">
        <f t="shared" si="9"/>
        <v>8.9</v>
      </c>
      <c r="L43" s="69">
        <f t="shared" si="9"/>
        <v>0</v>
      </c>
      <c r="M43" s="69">
        <f t="shared" si="9"/>
        <v>8.9</v>
      </c>
      <c r="N43" s="69">
        <f t="shared" si="9"/>
        <v>85.9</v>
      </c>
    </row>
    <row r="44" spans="1:14" s="52" customFormat="1" ht="72" x14ac:dyDescent="0.35">
      <c r="A44" s="56"/>
      <c r="B44" s="610" t="s">
        <v>407</v>
      </c>
      <c r="C44" s="68" t="s">
        <v>1</v>
      </c>
      <c r="D44" s="55" t="s">
        <v>36</v>
      </c>
      <c r="E44" s="55" t="s">
        <v>63</v>
      </c>
      <c r="F44" s="799" t="s">
        <v>40</v>
      </c>
      <c r="G44" s="800" t="s">
        <v>44</v>
      </c>
      <c r="H44" s="800" t="s">
        <v>38</v>
      </c>
      <c r="I44" s="801" t="s">
        <v>406</v>
      </c>
      <c r="J44" s="55"/>
      <c r="K44" s="69">
        <f t="shared" si="9"/>
        <v>8.9</v>
      </c>
      <c r="L44" s="69">
        <f t="shared" si="9"/>
        <v>0</v>
      </c>
      <c r="M44" s="69">
        <f t="shared" si="9"/>
        <v>8.9</v>
      </c>
      <c r="N44" s="69">
        <f t="shared" si="9"/>
        <v>85.9</v>
      </c>
    </row>
    <row r="45" spans="1:14" s="52" customFormat="1" ht="54" x14ac:dyDescent="0.35">
      <c r="A45" s="56"/>
      <c r="B45" s="610" t="s">
        <v>53</v>
      </c>
      <c r="C45" s="68" t="s">
        <v>1</v>
      </c>
      <c r="D45" s="55" t="s">
        <v>36</v>
      </c>
      <c r="E45" s="55" t="s">
        <v>63</v>
      </c>
      <c r="F45" s="799" t="s">
        <v>40</v>
      </c>
      <c r="G45" s="800" t="s">
        <v>44</v>
      </c>
      <c r="H45" s="800" t="s">
        <v>38</v>
      </c>
      <c r="I45" s="801" t="s">
        <v>406</v>
      </c>
      <c r="J45" s="55" t="s">
        <v>54</v>
      </c>
      <c r="K45" s="69">
        <v>8.9</v>
      </c>
      <c r="L45" s="69">
        <f>M45-K45</f>
        <v>0</v>
      </c>
      <c r="M45" s="69">
        <v>8.9</v>
      </c>
      <c r="N45" s="69">
        <v>85.9</v>
      </c>
    </row>
    <row r="46" spans="1:14" s="163" customFormat="1" ht="18" x14ac:dyDescent="0.35">
      <c r="A46" s="56"/>
      <c r="B46" s="610" t="s">
        <v>64</v>
      </c>
      <c r="C46" s="68" t="s">
        <v>1</v>
      </c>
      <c r="D46" s="55" t="s">
        <v>36</v>
      </c>
      <c r="E46" s="55" t="s">
        <v>65</v>
      </c>
      <c r="F46" s="799"/>
      <c r="G46" s="800"/>
      <c r="H46" s="800"/>
      <c r="I46" s="801"/>
      <c r="J46" s="55"/>
      <c r="K46" s="69">
        <f t="shared" ref="K46:N49" si="10">K47</f>
        <v>25000</v>
      </c>
      <c r="L46" s="69">
        <f t="shared" si="10"/>
        <v>0</v>
      </c>
      <c r="M46" s="69">
        <f t="shared" si="10"/>
        <v>25000</v>
      </c>
      <c r="N46" s="69">
        <f t="shared" si="10"/>
        <v>15000</v>
      </c>
    </row>
    <row r="47" spans="1:14" s="163" customFormat="1" ht="36" x14ac:dyDescent="0.35">
      <c r="A47" s="56"/>
      <c r="B47" s="610" t="s">
        <v>466</v>
      </c>
      <c r="C47" s="68" t="s">
        <v>1</v>
      </c>
      <c r="D47" s="55" t="s">
        <v>36</v>
      </c>
      <c r="E47" s="55" t="s">
        <v>65</v>
      </c>
      <c r="F47" s="799" t="s">
        <v>66</v>
      </c>
      <c r="G47" s="800" t="s">
        <v>41</v>
      </c>
      <c r="H47" s="800" t="s">
        <v>42</v>
      </c>
      <c r="I47" s="801" t="s">
        <v>43</v>
      </c>
      <c r="J47" s="55"/>
      <c r="K47" s="69">
        <f t="shared" si="10"/>
        <v>25000</v>
      </c>
      <c r="L47" s="69">
        <f t="shared" si="10"/>
        <v>0</v>
      </c>
      <c r="M47" s="69">
        <f t="shared" si="10"/>
        <v>25000</v>
      </c>
      <c r="N47" s="69">
        <f t="shared" si="10"/>
        <v>15000</v>
      </c>
    </row>
    <row r="48" spans="1:14" s="163" customFormat="1" ht="18" x14ac:dyDescent="0.35">
      <c r="A48" s="56"/>
      <c r="B48" s="642" t="s">
        <v>467</v>
      </c>
      <c r="C48" s="68" t="s">
        <v>1</v>
      </c>
      <c r="D48" s="55" t="s">
        <v>36</v>
      </c>
      <c r="E48" s="55" t="s">
        <v>65</v>
      </c>
      <c r="F48" s="799" t="s">
        <v>66</v>
      </c>
      <c r="G48" s="800" t="s">
        <v>44</v>
      </c>
      <c r="H48" s="800" t="s">
        <v>42</v>
      </c>
      <c r="I48" s="801" t="s">
        <v>43</v>
      </c>
      <c r="J48" s="55"/>
      <c r="K48" s="69">
        <f>K49</f>
        <v>25000</v>
      </c>
      <c r="L48" s="69">
        <f t="shared" si="10"/>
        <v>0</v>
      </c>
      <c r="M48" s="69">
        <f>M49</f>
        <v>25000</v>
      </c>
      <c r="N48" s="69">
        <f>N49</f>
        <v>15000</v>
      </c>
    </row>
    <row r="49" spans="1:14" s="163" customFormat="1" ht="36" x14ac:dyDescent="0.35">
      <c r="A49" s="56"/>
      <c r="B49" s="610" t="s">
        <v>465</v>
      </c>
      <c r="C49" s="68" t="s">
        <v>1</v>
      </c>
      <c r="D49" s="55" t="s">
        <v>36</v>
      </c>
      <c r="E49" s="55" t="s">
        <v>65</v>
      </c>
      <c r="F49" s="799" t="s">
        <v>66</v>
      </c>
      <c r="G49" s="800" t="s">
        <v>44</v>
      </c>
      <c r="H49" s="800" t="s">
        <v>42</v>
      </c>
      <c r="I49" s="801" t="s">
        <v>67</v>
      </c>
      <c r="J49" s="55"/>
      <c r="K49" s="69">
        <f t="shared" si="10"/>
        <v>25000</v>
      </c>
      <c r="L49" s="69">
        <f t="shared" si="10"/>
        <v>0</v>
      </c>
      <c r="M49" s="69">
        <f t="shared" si="10"/>
        <v>25000</v>
      </c>
      <c r="N49" s="69">
        <f t="shared" si="10"/>
        <v>15000</v>
      </c>
    </row>
    <row r="50" spans="1:14" s="163" customFormat="1" ht="18" x14ac:dyDescent="0.35">
      <c r="A50" s="56"/>
      <c r="B50" s="610" t="s">
        <v>55</v>
      </c>
      <c r="C50" s="68" t="s">
        <v>1</v>
      </c>
      <c r="D50" s="55" t="s">
        <v>36</v>
      </c>
      <c r="E50" s="55" t="s">
        <v>65</v>
      </c>
      <c r="F50" s="799" t="s">
        <v>66</v>
      </c>
      <c r="G50" s="800" t="s">
        <v>44</v>
      </c>
      <c r="H50" s="800" t="s">
        <v>42</v>
      </c>
      <c r="I50" s="801" t="s">
        <v>67</v>
      </c>
      <c r="J50" s="55" t="s">
        <v>56</v>
      </c>
      <c r="K50" s="69">
        <f>25000</f>
        <v>25000</v>
      </c>
      <c r="L50" s="69">
        <f>M50-K50</f>
        <v>0</v>
      </c>
      <c r="M50" s="69">
        <f>25000</f>
        <v>25000</v>
      </c>
      <c r="N50" s="69">
        <f>15000</f>
        <v>15000</v>
      </c>
    </row>
    <row r="51" spans="1:14" s="163" customFormat="1" ht="18" x14ac:dyDescent="0.35">
      <c r="A51" s="56"/>
      <c r="B51" s="610" t="s">
        <v>68</v>
      </c>
      <c r="C51" s="68" t="s">
        <v>1</v>
      </c>
      <c r="D51" s="55" t="s">
        <v>36</v>
      </c>
      <c r="E51" s="55" t="s">
        <v>69</v>
      </c>
      <c r="F51" s="799"/>
      <c r="G51" s="800"/>
      <c r="H51" s="800"/>
      <c r="I51" s="801"/>
      <c r="J51" s="55"/>
      <c r="K51" s="69">
        <f>K62+K57</f>
        <v>54815.700000000004</v>
      </c>
      <c r="L51" s="69">
        <f>L52+L62+L57</f>
        <v>108</v>
      </c>
      <c r="M51" s="69">
        <f>M52+M62+M57</f>
        <v>54923.700000000004</v>
      </c>
      <c r="N51" s="69">
        <f>N52+N62+N57</f>
        <v>55756.4</v>
      </c>
    </row>
    <row r="52" spans="1:14" s="163" customFormat="1" ht="72" x14ac:dyDescent="0.35">
      <c r="A52" s="56"/>
      <c r="B52" s="696" t="s">
        <v>352</v>
      </c>
      <c r="C52" s="68" t="s">
        <v>1</v>
      </c>
      <c r="D52" s="55" t="s">
        <v>36</v>
      </c>
      <c r="E52" s="55" t="s">
        <v>69</v>
      </c>
      <c r="F52" s="799" t="s">
        <v>102</v>
      </c>
      <c r="G52" s="800" t="s">
        <v>41</v>
      </c>
      <c r="H52" s="800" t="s">
        <v>42</v>
      </c>
      <c r="I52" s="801" t="s">
        <v>43</v>
      </c>
      <c r="J52" s="55"/>
      <c r="K52" s="69"/>
      <c r="L52" s="69">
        <f>L53</f>
        <v>108</v>
      </c>
      <c r="M52" s="69">
        <f t="shared" ref="M52:N55" si="11">M53</f>
        <v>108</v>
      </c>
      <c r="N52" s="69">
        <f t="shared" si="11"/>
        <v>108</v>
      </c>
    </row>
    <row r="53" spans="1:14" s="163" customFormat="1" ht="36" x14ac:dyDescent="0.35">
      <c r="A53" s="56"/>
      <c r="B53" s="696" t="s">
        <v>752</v>
      </c>
      <c r="C53" s="68" t="s">
        <v>1</v>
      </c>
      <c r="D53" s="55" t="s">
        <v>36</v>
      </c>
      <c r="E53" s="55" t="s">
        <v>69</v>
      </c>
      <c r="F53" s="799" t="s">
        <v>102</v>
      </c>
      <c r="G53" s="800" t="s">
        <v>694</v>
      </c>
      <c r="H53" s="800" t="s">
        <v>42</v>
      </c>
      <c r="I53" s="801" t="s">
        <v>43</v>
      </c>
      <c r="J53" s="55"/>
      <c r="K53" s="69"/>
      <c r="L53" s="69">
        <f>L54</f>
        <v>108</v>
      </c>
      <c r="M53" s="69">
        <f t="shared" si="11"/>
        <v>108</v>
      </c>
      <c r="N53" s="69">
        <f t="shared" si="11"/>
        <v>108</v>
      </c>
    </row>
    <row r="54" spans="1:14" s="163" customFormat="1" ht="36" x14ac:dyDescent="0.35">
      <c r="A54" s="56"/>
      <c r="B54" s="696" t="s">
        <v>753</v>
      </c>
      <c r="C54" s="68" t="s">
        <v>1</v>
      </c>
      <c r="D54" s="55" t="s">
        <v>36</v>
      </c>
      <c r="E54" s="55" t="s">
        <v>69</v>
      </c>
      <c r="F54" s="799" t="s">
        <v>102</v>
      </c>
      <c r="G54" s="800" t="s">
        <v>694</v>
      </c>
      <c r="H54" s="800" t="s">
        <v>36</v>
      </c>
      <c r="I54" s="801" t="s">
        <v>43</v>
      </c>
      <c r="J54" s="55"/>
      <c r="K54" s="69"/>
      <c r="L54" s="69">
        <f>L55</f>
        <v>108</v>
      </c>
      <c r="M54" s="69">
        <f t="shared" si="11"/>
        <v>108</v>
      </c>
      <c r="N54" s="69">
        <f t="shared" si="11"/>
        <v>108</v>
      </c>
    </row>
    <row r="55" spans="1:14" s="163" customFormat="1" ht="72" x14ac:dyDescent="0.35">
      <c r="A55" s="56"/>
      <c r="B55" s="696" t="s">
        <v>754</v>
      </c>
      <c r="C55" s="68" t="s">
        <v>1</v>
      </c>
      <c r="D55" s="55" t="s">
        <v>36</v>
      </c>
      <c r="E55" s="55" t="s">
        <v>69</v>
      </c>
      <c r="F55" s="799" t="s">
        <v>102</v>
      </c>
      <c r="G55" s="800" t="s">
        <v>694</v>
      </c>
      <c r="H55" s="800" t="s">
        <v>36</v>
      </c>
      <c r="I55" s="801" t="s">
        <v>755</v>
      </c>
      <c r="J55" s="55"/>
      <c r="K55" s="69"/>
      <c r="L55" s="69">
        <f>L56</f>
        <v>108</v>
      </c>
      <c r="M55" s="69">
        <f t="shared" si="11"/>
        <v>108</v>
      </c>
      <c r="N55" s="69">
        <f t="shared" si="11"/>
        <v>108</v>
      </c>
    </row>
    <row r="56" spans="1:14" s="163" customFormat="1" ht="54" x14ac:dyDescent="0.35">
      <c r="A56" s="56"/>
      <c r="B56" s="696" t="s">
        <v>53</v>
      </c>
      <c r="C56" s="68" t="s">
        <v>1</v>
      </c>
      <c r="D56" s="55" t="s">
        <v>36</v>
      </c>
      <c r="E56" s="55" t="s">
        <v>69</v>
      </c>
      <c r="F56" s="799" t="s">
        <v>102</v>
      </c>
      <c r="G56" s="800" t="s">
        <v>694</v>
      </c>
      <c r="H56" s="800" t="s">
        <v>36</v>
      </c>
      <c r="I56" s="801" t="s">
        <v>755</v>
      </c>
      <c r="J56" s="55" t="s">
        <v>54</v>
      </c>
      <c r="K56" s="69"/>
      <c r="L56" s="69">
        <f>M56-K56</f>
        <v>108</v>
      </c>
      <c r="M56" s="69">
        <v>108</v>
      </c>
      <c r="N56" s="69">
        <v>108</v>
      </c>
    </row>
    <row r="57" spans="1:14" s="163" customFormat="1" ht="72" x14ac:dyDescent="0.35">
      <c r="A57" s="56"/>
      <c r="B57" s="610" t="s">
        <v>70</v>
      </c>
      <c r="C57" s="68" t="s">
        <v>1</v>
      </c>
      <c r="D57" s="55" t="s">
        <v>36</v>
      </c>
      <c r="E57" s="55" t="s">
        <v>69</v>
      </c>
      <c r="F57" s="799" t="s">
        <v>71</v>
      </c>
      <c r="G57" s="800" t="s">
        <v>41</v>
      </c>
      <c r="H57" s="800" t="s">
        <v>42</v>
      </c>
      <c r="I57" s="801" t="s">
        <v>43</v>
      </c>
      <c r="J57" s="55"/>
      <c r="K57" s="69">
        <f t="shared" ref="K57:N60" si="12">K58</f>
        <v>422.4</v>
      </c>
      <c r="L57" s="69">
        <f t="shared" si="12"/>
        <v>0</v>
      </c>
      <c r="M57" s="69">
        <f t="shared" si="12"/>
        <v>422.4</v>
      </c>
      <c r="N57" s="69">
        <f t="shared" si="12"/>
        <v>422.4</v>
      </c>
    </row>
    <row r="58" spans="1:14" s="163" customFormat="1" ht="36" x14ac:dyDescent="0.35">
      <c r="A58" s="56"/>
      <c r="B58" s="610" t="s">
        <v>359</v>
      </c>
      <c r="C58" s="68" t="s">
        <v>1</v>
      </c>
      <c r="D58" s="55" t="s">
        <v>36</v>
      </c>
      <c r="E58" s="55" t="s">
        <v>69</v>
      </c>
      <c r="F58" s="799" t="s">
        <v>71</v>
      </c>
      <c r="G58" s="800" t="s">
        <v>44</v>
      </c>
      <c r="H58" s="800" t="s">
        <v>42</v>
      </c>
      <c r="I58" s="801" t="s">
        <v>43</v>
      </c>
      <c r="J58" s="55"/>
      <c r="K58" s="69">
        <f t="shared" si="12"/>
        <v>422.4</v>
      </c>
      <c r="L58" s="69">
        <f t="shared" si="12"/>
        <v>0</v>
      </c>
      <c r="M58" s="69">
        <f t="shared" si="12"/>
        <v>422.4</v>
      </c>
      <c r="N58" s="69">
        <f t="shared" si="12"/>
        <v>422.4</v>
      </c>
    </row>
    <row r="59" spans="1:14" s="163" customFormat="1" ht="54" x14ac:dyDescent="0.35">
      <c r="A59" s="56"/>
      <c r="B59" s="642" t="s">
        <v>280</v>
      </c>
      <c r="C59" s="68" t="s">
        <v>1</v>
      </c>
      <c r="D59" s="55" t="s">
        <v>36</v>
      </c>
      <c r="E59" s="55" t="s">
        <v>69</v>
      </c>
      <c r="F59" s="799" t="s">
        <v>71</v>
      </c>
      <c r="G59" s="800" t="s">
        <v>44</v>
      </c>
      <c r="H59" s="800" t="s">
        <v>36</v>
      </c>
      <c r="I59" s="801" t="s">
        <v>43</v>
      </c>
      <c r="J59" s="55"/>
      <c r="K59" s="69">
        <f t="shared" si="12"/>
        <v>422.4</v>
      </c>
      <c r="L59" s="69">
        <f t="shared" si="12"/>
        <v>0</v>
      </c>
      <c r="M59" s="69">
        <f t="shared" si="12"/>
        <v>422.4</v>
      </c>
      <c r="N59" s="69">
        <f t="shared" si="12"/>
        <v>422.4</v>
      </c>
    </row>
    <row r="60" spans="1:14" s="163" customFormat="1" ht="54" x14ac:dyDescent="0.35">
      <c r="A60" s="56"/>
      <c r="B60" s="642" t="s">
        <v>72</v>
      </c>
      <c r="C60" s="68" t="s">
        <v>1</v>
      </c>
      <c r="D60" s="55" t="s">
        <v>36</v>
      </c>
      <c r="E60" s="55" t="s">
        <v>69</v>
      </c>
      <c r="F60" s="799" t="s">
        <v>71</v>
      </c>
      <c r="G60" s="800" t="s">
        <v>44</v>
      </c>
      <c r="H60" s="800" t="s">
        <v>36</v>
      </c>
      <c r="I60" s="801" t="s">
        <v>73</v>
      </c>
      <c r="J60" s="55"/>
      <c r="K60" s="69">
        <f t="shared" si="12"/>
        <v>422.4</v>
      </c>
      <c r="L60" s="69">
        <f t="shared" si="12"/>
        <v>0</v>
      </c>
      <c r="M60" s="69">
        <f t="shared" si="12"/>
        <v>422.4</v>
      </c>
      <c r="N60" s="69">
        <f t="shared" si="12"/>
        <v>422.4</v>
      </c>
    </row>
    <row r="61" spans="1:14" s="163" customFormat="1" ht="54" x14ac:dyDescent="0.35">
      <c r="A61" s="56"/>
      <c r="B61" s="617" t="s">
        <v>74</v>
      </c>
      <c r="C61" s="68" t="s">
        <v>1</v>
      </c>
      <c r="D61" s="55" t="s">
        <v>36</v>
      </c>
      <c r="E61" s="55" t="s">
        <v>69</v>
      </c>
      <c r="F61" s="799" t="s">
        <v>71</v>
      </c>
      <c r="G61" s="800" t="s">
        <v>44</v>
      </c>
      <c r="H61" s="800" t="s">
        <v>36</v>
      </c>
      <c r="I61" s="801" t="s">
        <v>73</v>
      </c>
      <c r="J61" s="55" t="s">
        <v>75</v>
      </c>
      <c r="K61" s="69">
        <v>422.4</v>
      </c>
      <c r="L61" s="69">
        <f>M61-K61</f>
        <v>0</v>
      </c>
      <c r="M61" s="69">
        <v>422.4</v>
      </c>
      <c r="N61" s="69">
        <v>422.4</v>
      </c>
    </row>
    <row r="62" spans="1:14" s="163" customFormat="1" ht="54" x14ac:dyDescent="0.35">
      <c r="A62" s="56"/>
      <c r="B62" s="610" t="s">
        <v>39</v>
      </c>
      <c r="C62" s="68" t="s">
        <v>1</v>
      </c>
      <c r="D62" s="55" t="s">
        <v>36</v>
      </c>
      <c r="E62" s="55" t="s">
        <v>69</v>
      </c>
      <c r="F62" s="799" t="s">
        <v>40</v>
      </c>
      <c r="G62" s="800" t="s">
        <v>41</v>
      </c>
      <c r="H62" s="800" t="s">
        <v>42</v>
      </c>
      <c r="I62" s="801" t="s">
        <v>43</v>
      </c>
      <c r="J62" s="55"/>
      <c r="K62" s="69">
        <f>K63</f>
        <v>54393.3</v>
      </c>
      <c r="L62" s="69">
        <f t="shared" ref="L62" si="13">L63</f>
        <v>0</v>
      </c>
      <c r="M62" s="69">
        <f>M63</f>
        <v>54393.3</v>
      </c>
      <c r="N62" s="69">
        <f>N63</f>
        <v>55226</v>
      </c>
    </row>
    <row r="63" spans="1:14" s="163" customFormat="1" ht="36" x14ac:dyDescent="0.35">
      <c r="A63" s="56"/>
      <c r="B63" s="610" t="s">
        <v>359</v>
      </c>
      <c r="C63" s="68" t="s">
        <v>1</v>
      </c>
      <c r="D63" s="55" t="s">
        <v>36</v>
      </c>
      <c r="E63" s="55" t="s">
        <v>69</v>
      </c>
      <c r="F63" s="799" t="s">
        <v>40</v>
      </c>
      <c r="G63" s="800" t="s">
        <v>44</v>
      </c>
      <c r="H63" s="800" t="s">
        <v>42</v>
      </c>
      <c r="I63" s="801" t="s">
        <v>43</v>
      </c>
      <c r="J63" s="55"/>
      <c r="K63" s="69">
        <f>K64+K71+K67+K76</f>
        <v>54393.3</v>
      </c>
      <c r="L63" s="69">
        <f t="shared" ref="L63" si="14">L64+L71+L67+L76</f>
        <v>0</v>
      </c>
      <c r="M63" s="69">
        <f>M64+M71+M67+M76</f>
        <v>54393.3</v>
      </c>
      <c r="N63" s="69">
        <f>N71+N64+N67+N76</f>
        <v>55226</v>
      </c>
    </row>
    <row r="64" spans="1:14" s="163" customFormat="1" ht="36" x14ac:dyDescent="0.35">
      <c r="A64" s="56"/>
      <c r="B64" s="610" t="s">
        <v>52</v>
      </c>
      <c r="C64" s="68" t="s">
        <v>1</v>
      </c>
      <c r="D64" s="55" t="s">
        <v>36</v>
      </c>
      <c r="E64" s="55" t="s">
        <v>69</v>
      </c>
      <c r="F64" s="799" t="s">
        <v>40</v>
      </c>
      <c r="G64" s="800" t="s">
        <v>44</v>
      </c>
      <c r="H64" s="800" t="s">
        <v>38</v>
      </c>
      <c r="I64" s="801" t="s">
        <v>43</v>
      </c>
      <c r="J64" s="55"/>
      <c r="K64" s="69">
        <f t="shared" ref="K64:N65" si="15">K65</f>
        <v>0</v>
      </c>
      <c r="L64" s="69">
        <f t="shared" si="15"/>
        <v>0</v>
      </c>
      <c r="M64" s="69">
        <f t="shared" si="15"/>
        <v>0</v>
      </c>
      <c r="N64" s="69">
        <f t="shared" si="15"/>
        <v>764</v>
      </c>
    </row>
    <row r="65" spans="1:14" s="163" customFormat="1" ht="36" x14ac:dyDescent="0.35">
      <c r="A65" s="56"/>
      <c r="B65" s="610" t="s">
        <v>691</v>
      </c>
      <c r="C65" s="68" t="s">
        <v>1</v>
      </c>
      <c r="D65" s="55" t="s">
        <v>36</v>
      </c>
      <c r="E65" s="55" t="s">
        <v>69</v>
      </c>
      <c r="F65" s="799" t="s">
        <v>40</v>
      </c>
      <c r="G65" s="800" t="s">
        <v>44</v>
      </c>
      <c r="H65" s="800" t="s">
        <v>38</v>
      </c>
      <c r="I65" s="801" t="s">
        <v>643</v>
      </c>
      <c r="J65" s="55"/>
      <c r="K65" s="69">
        <f t="shared" si="15"/>
        <v>0</v>
      </c>
      <c r="L65" s="69">
        <f t="shared" si="15"/>
        <v>0</v>
      </c>
      <c r="M65" s="69">
        <f t="shared" si="15"/>
        <v>0</v>
      </c>
      <c r="N65" s="69">
        <f t="shared" si="15"/>
        <v>764</v>
      </c>
    </row>
    <row r="66" spans="1:14" s="163" customFormat="1" ht="54" x14ac:dyDescent="0.35">
      <c r="A66" s="56"/>
      <c r="B66" s="610" t="s">
        <v>53</v>
      </c>
      <c r="C66" s="68" t="s">
        <v>1</v>
      </c>
      <c r="D66" s="55" t="s">
        <v>36</v>
      </c>
      <c r="E66" s="55" t="s">
        <v>69</v>
      </c>
      <c r="F66" s="799" t="s">
        <v>40</v>
      </c>
      <c r="G66" s="800" t="s">
        <v>44</v>
      </c>
      <c r="H66" s="800" t="s">
        <v>38</v>
      </c>
      <c r="I66" s="801" t="s">
        <v>643</v>
      </c>
      <c r="J66" s="55" t="s">
        <v>54</v>
      </c>
      <c r="K66" s="69">
        <v>0</v>
      </c>
      <c r="L66" s="69">
        <f>M66-K66</f>
        <v>0</v>
      </c>
      <c r="M66" s="69">
        <v>0</v>
      </c>
      <c r="N66" s="69">
        <f>741+23</f>
        <v>764</v>
      </c>
    </row>
    <row r="67" spans="1:14" s="163" customFormat="1" ht="18" x14ac:dyDescent="0.35">
      <c r="A67" s="56"/>
      <c r="B67" s="617" t="s">
        <v>60</v>
      </c>
      <c r="C67" s="68" t="s">
        <v>1</v>
      </c>
      <c r="D67" s="55" t="s">
        <v>36</v>
      </c>
      <c r="E67" s="55" t="s">
        <v>69</v>
      </c>
      <c r="F67" s="799" t="s">
        <v>40</v>
      </c>
      <c r="G67" s="800" t="s">
        <v>44</v>
      </c>
      <c r="H67" s="800" t="s">
        <v>61</v>
      </c>
      <c r="I67" s="801" t="s">
        <v>43</v>
      </c>
      <c r="J67" s="55"/>
      <c r="K67" s="69">
        <f>K68</f>
        <v>2345.5</v>
      </c>
      <c r="L67" s="69">
        <f t="shared" ref="L67" si="16">L68</f>
        <v>0</v>
      </c>
      <c r="M67" s="69">
        <f>M68</f>
        <v>2345.5</v>
      </c>
      <c r="N67" s="69">
        <f>N68</f>
        <v>2322.5</v>
      </c>
    </row>
    <row r="68" spans="1:14" s="163" customFormat="1" ht="54" x14ac:dyDescent="0.35">
      <c r="A68" s="56"/>
      <c r="B68" s="617" t="s">
        <v>401</v>
      </c>
      <c r="C68" s="68" t="s">
        <v>1</v>
      </c>
      <c r="D68" s="55" t="s">
        <v>36</v>
      </c>
      <c r="E68" s="55" t="s">
        <v>69</v>
      </c>
      <c r="F68" s="799" t="s">
        <v>40</v>
      </c>
      <c r="G68" s="800" t="s">
        <v>44</v>
      </c>
      <c r="H68" s="800" t="s">
        <v>61</v>
      </c>
      <c r="I68" s="801" t="s">
        <v>400</v>
      </c>
      <c r="J68" s="55"/>
      <c r="K68" s="69">
        <f>K69+K70</f>
        <v>2345.5</v>
      </c>
      <c r="L68" s="69">
        <f t="shared" ref="L68" si="17">L69+L70</f>
        <v>0</v>
      </c>
      <c r="M68" s="69">
        <f>M69+M70</f>
        <v>2345.5</v>
      </c>
      <c r="N68" s="69">
        <f>N69+N70</f>
        <v>2322.5</v>
      </c>
    </row>
    <row r="69" spans="1:14" s="163" customFormat="1" ht="54" x14ac:dyDescent="0.35">
      <c r="A69" s="56"/>
      <c r="B69" s="610" t="s">
        <v>53</v>
      </c>
      <c r="C69" s="68" t="s">
        <v>1</v>
      </c>
      <c r="D69" s="55" t="s">
        <v>36</v>
      </c>
      <c r="E69" s="55" t="s">
        <v>69</v>
      </c>
      <c r="F69" s="799" t="s">
        <v>40</v>
      </c>
      <c r="G69" s="800" t="s">
        <v>44</v>
      </c>
      <c r="H69" s="800" t="s">
        <v>61</v>
      </c>
      <c r="I69" s="801" t="s">
        <v>400</v>
      </c>
      <c r="J69" s="55" t="s">
        <v>54</v>
      </c>
      <c r="K69" s="69">
        <v>2121.6999999999998</v>
      </c>
      <c r="L69" s="69">
        <f>M69-K69</f>
        <v>0</v>
      </c>
      <c r="M69" s="69">
        <v>2121.6999999999998</v>
      </c>
      <c r="N69" s="69">
        <v>2098.6999999999998</v>
      </c>
    </row>
    <row r="70" spans="1:14" s="163" customFormat="1" ht="18" x14ac:dyDescent="0.35">
      <c r="A70" s="56"/>
      <c r="B70" s="610" t="s">
        <v>55</v>
      </c>
      <c r="C70" s="68" t="s">
        <v>1</v>
      </c>
      <c r="D70" s="55" t="s">
        <v>36</v>
      </c>
      <c r="E70" s="55" t="s">
        <v>69</v>
      </c>
      <c r="F70" s="799" t="s">
        <v>40</v>
      </c>
      <c r="G70" s="800" t="s">
        <v>44</v>
      </c>
      <c r="H70" s="800" t="s">
        <v>61</v>
      </c>
      <c r="I70" s="801" t="s">
        <v>400</v>
      </c>
      <c r="J70" s="55" t="s">
        <v>56</v>
      </c>
      <c r="K70" s="69">
        <v>223.8</v>
      </c>
      <c r="L70" s="69">
        <f>M70-K70</f>
        <v>0</v>
      </c>
      <c r="M70" s="69">
        <v>223.8</v>
      </c>
      <c r="N70" s="69">
        <v>223.8</v>
      </c>
    </row>
    <row r="71" spans="1:14" s="163" customFormat="1" ht="18" x14ac:dyDescent="0.35">
      <c r="A71" s="56"/>
      <c r="B71" s="610" t="s">
        <v>62</v>
      </c>
      <c r="C71" s="68" t="s">
        <v>1</v>
      </c>
      <c r="D71" s="55" t="s">
        <v>36</v>
      </c>
      <c r="E71" s="55" t="s">
        <v>69</v>
      </c>
      <c r="F71" s="799" t="s">
        <v>40</v>
      </c>
      <c r="G71" s="800" t="s">
        <v>44</v>
      </c>
      <c r="H71" s="800" t="s">
        <v>50</v>
      </c>
      <c r="I71" s="801" t="s">
        <v>43</v>
      </c>
      <c r="J71" s="55"/>
      <c r="K71" s="69">
        <f>K72+K74</f>
        <v>5564.6</v>
      </c>
      <c r="L71" s="69">
        <f t="shared" ref="L71" si="18">L72+L74</f>
        <v>0</v>
      </c>
      <c r="M71" s="69">
        <f>M72+M74</f>
        <v>5564.6</v>
      </c>
      <c r="N71" s="69">
        <f>N72+N74</f>
        <v>5564.6</v>
      </c>
    </row>
    <row r="72" spans="1:14" s="163" customFormat="1" ht="54" x14ac:dyDescent="0.35">
      <c r="A72" s="56"/>
      <c r="B72" s="658" t="s">
        <v>372</v>
      </c>
      <c r="C72" s="68" t="s">
        <v>1</v>
      </c>
      <c r="D72" s="55" t="s">
        <v>36</v>
      </c>
      <c r="E72" s="55" t="s">
        <v>69</v>
      </c>
      <c r="F72" s="799" t="s">
        <v>40</v>
      </c>
      <c r="G72" s="800" t="s">
        <v>44</v>
      </c>
      <c r="H72" s="800" t="s">
        <v>50</v>
      </c>
      <c r="I72" s="801" t="s">
        <v>103</v>
      </c>
      <c r="J72" s="55"/>
      <c r="K72" s="69">
        <f>K73</f>
        <v>3475.6</v>
      </c>
      <c r="L72" s="69">
        <f t="shared" ref="L72" si="19">L73</f>
        <v>0</v>
      </c>
      <c r="M72" s="69">
        <f>M73</f>
        <v>3475.6</v>
      </c>
      <c r="N72" s="69">
        <f>N73</f>
        <v>3475.6</v>
      </c>
    </row>
    <row r="73" spans="1:14" s="163" customFormat="1" ht="54" x14ac:dyDescent="0.35">
      <c r="A73" s="56"/>
      <c r="B73" s="610" t="s">
        <v>53</v>
      </c>
      <c r="C73" s="68" t="s">
        <v>1</v>
      </c>
      <c r="D73" s="55" t="s">
        <v>36</v>
      </c>
      <c r="E73" s="55" t="s">
        <v>69</v>
      </c>
      <c r="F73" s="799" t="s">
        <v>40</v>
      </c>
      <c r="G73" s="800" t="s">
        <v>44</v>
      </c>
      <c r="H73" s="800" t="s">
        <v>50</v>
      </c>
      <c r="I73" s="801" t="s">
        <v>103</v>
      </c>
      <c r="J73" s="55" t="s">
        <v>54</v>
      </c>
      <c r="K73" s="69">
        <v>3475.6</v>
      </c>
      <c r="L73" s="69">
        <f>M73-K73</f>
        <v>0</v>
      </c>
      <c r="M73" s="69">
        <v>3475.6</v>
      </c>
      <c r="N73" s="69">
        <v>3475.6</v>
      </c>
    </row>
    <row r="74" spans="1:14" s="163" customFormat="1" ht="54" x14ac:dyDescent="0.35">
      <c r="A74" s="56"/>
      <c r="B74" s="610" t="s">
        <v>374</v>
      </c>
      <c r="C74" s="68" t="s">
        <v>1</v>
      </c>
      <c r="D74" s="55" t="s">
        <v>36</v>
      </c>
      <c r="E74" s="55" t="s">
        <v>69</v>
      </c>
      <c r="F74" s="799" t="s">
        <v>40</v>
      </c>
      <c r="G74" s="800" t="s">
        <v>44</v>
      </c>
      <c r="H74" s="800" t="s">
        <v>50</v>
      </c>
      <c r="I74" s="801" t="s">
        <v>373</v>
      </c>
      <c r="J74" s="55"/>
      <c r="K74" s="69">
        <f>K75</f>
        <v>2089</v>
      </c>
      <c r="L74" s="69">
        <f t="shared" ref="L74" si="20">L75</f>
        <v>0</v>
      </c>
      <c r="M74" s="69">
        <f>M75</f>
        <v>2089</v>
      </c>
      <c r="N74" s="69">
        <f>N75</f>
        <v>2089</v>
      </c>
    </row>
    <row r="75" spans="1:14" s="163" customFormat="1" ht="54" x14ac:dyDescent="0.35">
      <c r="A75" s="56"/>
      <c r="B75" s="610" t="s">
        <v>53</v>
      </c>
      <c r="C75" s="68" t="s">
        <v>1</v>
      </c>
      <c r="D75" s="55" t="s">
        <v>36</v>
      </c>
      <c r="E75" s="55" t="s">
        <v>69</v>
      </c>
      <c r="F75" s="799" t="s">
        <v>40</v>
      </c>
      <c r="G75" s="800" t="s">
        <v>44</v>
      </c>
      <c r="H75" s="800" t="s">
        <v>50</v>
      </c>
      <c r="I75" s="801" t="s">
        <v>373</v>
      </c>
      <c r="J75" s="55" t="s">
        <v>54</v>
      </c>
      <c r="K75" s="69">
        <v>2089</v>
      </c>
      <c r="L75" s="69">
        <f>M75-K75</f>
        <v>0</v>
      </c>
      <c r="M75" s="69">
        <v>2089</v>
      </c>
      <c r="N75" s="69">
        <v>2089</v>
      </c>
    </row>
    <row r="76" spans="1:14" s="163" customFormat="1" ht="90" x14ac:dyDescent="0.35">
      <c r="A76" s="56"/>
      <c r="B76" s="610" t="s">
        <v>579</v>
      </c>
      <c r="C76" s="68" t="s">
        <v>1</v>
      </c>
      <c r="D76" s="55" t="s">
        <v>36</v>
      </c>
      <c r="E76" s="55" t="s">
        <v>69</v>
      </c>
      <c r="F76" s="799" t="s">
        <v>40</v>
      </c>
      <c r="G76" s="800" t="s">
        <v>44</v>
      </c>
      <c r="H76" s="800" t="s">
        <v>577</v>
      </c>
      <c r="I76" s="801" t="s">
        <v>43</v>
      </c>
      <c r="J76" s="55"/>
      <c r="K76" s="69">
        <f>K77</f>
        <v>46483.200000000004</v>
      </c>
      <c r="L76" s="69">
        <f t="shared" ref="L76" si="21">L77</f>
        <v>0</v>
      </c>
      <c r="M76" s="69">
        <f>M77</f>
        <v>46483.200000000004</v>
      </c>
      <c r="N76" s="69">
        <f>N77</f>
        <v>46574.9</v>
      </c>
    </row>
    <row r="77" spans="1:14" s="163" customFormat="1" ht="36" x14ac:dyDescent="0.35">
      <c r="A77" s="56"/>
      <c r="B77" s="642" t="s">
        <v>484</v>
      </c>
      <c r="C77" s="68" t="s">
        <v>1</v>
      </c>
      <c r="D77" s="55" t="s">
        <v>36</v>
      </c>
      <c r="E77" s="55" t="s">
        <v>69</v>
      </c>
      <c r="F77" s="799" t="s">
        <v>40</v>
      </c>
      <c r="G77" s="800" t="s">
        <v>44</v>
      </c>
      <c r="H77" s="800" t="s">
        <v>577</v>
      </c>
      <c r="I77" s="801" t="s">
        <v>89</v>
      </c>
      <c r="J77" s="55"/>
      <c r="K77" s="69">
        <f>K78+K79+K80</f>
        <v>46483.200000000004</v>
      </c>
      <c r="L77" s="69">
        <f t="shared" ref="L77" si="22">L78+L79+L80</f>
        <v>0</v>
      </c>
      <c r="M77" s="69">
        <f>M78+M79+M80</f>
        <v>46483.200000000004</v>
      </c>
      <c r="N77" s="69">
        <f>N78+N79+N80</f>
        <v>46574.9</v>
      </c>
    </row>
    <row r="78" spans="1:14" s="163" customFormat="1" ht="108" x14ac:dyDescent="0.35">
      <c r="A78" s="56"/>
      <c r="B78" s="610" t="s">
        <v>48</v>
      </c>
      <c r="C78" s="68" t="s">
        <v>1</v>
      </c>
      <c r="D78" s="55" t="s">
        <v>36</v>
      </c>
      <c r="E78" s="55" t="s">
        <v>69</v>
      </c>
      <c r="F78" s="799" t="s">
        <v>40</v>
      </c>
      <c r="G78" s="800" t="s">
        <v>44</v>
      </c>
      <c r="H78" s="800" t="s">
        <v>577</v>
      </c>
      <c r="I78" s="801" t="s">
        <v>89</v>
      </c>
      <c r="J78" s="55" t="s">
        <v>49</v>
      </c>
      <c r="K78" s="69">
        <v>35688</v>
      </c>
      <c r="L78" s="69">
        <f>M78-K78</f>
        <v>0</v>
      </c>
      <c r="M78" s="69">
        <v>35688</v>
      </c>
      <c r="N78" s="69">
        <v>35688</v>
      </c>
    </row>
    <row r="79" spans="1:14" s="163" customFormat="1" ht="54" x14ac:dyDescent="0.35">
      <c r="A79" s="56"/>
      <c r="B79" s="610" t="s">
        <v>53</v>
      </c>
      <c r="C79" s="68" t="s">
        <v>1</v>
      </c>
      <c r="D79" s="55" t="s">
        <v>36</v>
      </c>
      <c r="E79" s="55" t="s">
        <v>69</v>
      </c>
      <c r="F79" s="799" t="s">
        <v>40</v>
      </c>
      <c r="G79" s="800" t="s">
        <v>44</v>
      </c>
      <c r="H79" s="800" t="s">
        <v>577</v>
      </c>
      <c r="I79" s="801" t="s">
        <v>89</v>
      </c>
      <c r="J79" s="55" t="s">
        <v>54</v>
      </c>
      <c r="K79" s="69">
        <v>10709.3</v>
      </c>
      <c r="L79" s="69">
        <f>M79-K79</f>
        <v>0</v>
      </c>
      <c r="M79" s="69">
        <v>10709.3</v>
      </c>
      <c r="N79" s="69">
        <v>10802.9</v>
      </c>
    </row>
    <row r="80" spans="1:14" s="163" customFormat="1" ht="18" x14ac:dyDescent="0.35">
      <c r="A80" s="56"/>
      <c r="B80" s="610" t="s">
        <v>55</v>
      </c>
      <c r="C80" s="68" t="s">
        <v>1</v>
      </c>
      <c r="D80" s="55" t="s">
        <v>36</v>
      </c>
      <c r="E80" s="55" t="s">
        <v>69</v>
      </c>
      <c r="F80" s="799" t="s">
        <v>40</v>
      </c>
      <c r="G80" s="800" t="s">
        <v>44</v>
      </c>
      <c r="H80" s="800" t="s">
        <v>577</v>
      </c>
      <c r="I80" s="801" t="s">
        <v>89</v>
      </c>
      <c r="J80" s="55" t="s">
        <v>56</v>
      </c>
      <c r="K80" s="69">
        <v>85.9</v>
      </c>
      <c r="L80" s="69">
        <f>M80-K80</f>
        <v>0</v>
      </c>
      <c r="M80" s="69">
        <v>85.9</v>
      </c>
      <c r="N80" s="69">
        <v>84</v>
      </c>
    </row>
    <row r="81" spans="1:14" s="163" customFormat="1" ht="36" x14ac:dyDescent="0.35">
      <c r="A81" s="56"/>
      <c r="B81" s="610" t="s">
        <v>76</v>
      </c>
      <c r="C81" s="68" t="s">
        <v>1</v>
      </c>
      <c r="D81" s="55" t="s">
        <v>61</v>
      </c>
      <c r="E81" s="55"/>
      <c r="F81" s="799"/>
      <c r="G81" s="800"/>
      <c r="H81" s="800"/>
      <c r="I81" s="801"/>
      <c r="J81" s="55"/>
      <c r="K81" s="69">
        <f>K82+K90</f>
        <v>14790.1</v>
      </c>
      <c r="L81" s="69">
        <f t="shared" ref="L81" si="23">L82+L90</f>
        <v>0</v>
      </c>
      <c r="M81" s="69">
        <f>M82+M90</f>
        <v>14790.1</v>
      </c>
      <c r="N81" s="69">
        <f>N82+N90</f>
        <v>14790.6</v>
      </c>
    </row>
    <row r="82" spans="1:14" s="163" customFormat="1" ht="72" x14ac:dyDescent="0.35">
      <c r="A82" s="56"/>
      <c r="B82" s="685" t="s">
        <v>482</v>
      </c>
      <c r="C82" s="68" t="s">
        <v>1</v>
      </c>
      <c r="D82" s="55" t="s">
        <v>61</v>
      </c>
      <c r="E82" s="55" t="s">
        <v>102</v>
      </c>
      <c r="F82" s="799"/>
      <c r="G82" s="800"/>
      <c r="H82" s="800"/>
      <c r="I82" s="801"/>
      <c r="J82" s="55"/>
      <c r="K82" s="69">
        <f t="shared" ref="K82:N84" si="24">K83</f>
        <v>362.29999999999995</v>
      </c>
      <c r="L82" s="69">
        <f t="shared" si="24"/>
        <v>0</v>
      </c>
      <c r="M82" s="69">
        <f t="shared" si="24"/>
        <v>362.29999999999995</v>
      </c>
      <c r="N82" s="69">
        <f t="shared" si="24"/>
        <v>362.29999999999995</v>
      </c>
    </row>
    <row r="83" spans="1:14" s="163" customFormat="1" ht="54" x14ac:dyDescent="0.35">
      <c r="A83" s="56"/>
      <c r="B83" s="610" t="s">
        <v>78</v>
      </c>
      <c r="C83" s="68" t="s">
        <v>1</v>
      </c>
      <c r="D83" s="55" t="s">
        <v>61</v>
      </c>
      <c r="E83" s="55" t="s">
        <v>102</v>
      </c>
      <c r="F83" s="799" t="s">
        <v>79</v>
      </c>
      <c r="G83" s="800" t="s">
        <v>41</v>
      </c>
      <c r="H83" s="800" t="s">
        <v>42</v>
      </c>
      <c r="I83" s="801" t="s">
        <v>43</v>
      </c>
      <c r="J83" s="55"/>
      <c r="K83" s="69">
        <f t="shared" si="24"/>
        <v>362.29999999999995</v>
      </c>
      <c r="L83" s="69">
        <f t="shared" si="24"/>
        <v>0</v>
      </c>
      <c r="M83" s="69">
        <f t="shared" si="24"/>
        <v>362.29999999999995</v>
      </c>
      <c r="N83" s="69">
        <f t="shared" si="24"/>
        <v>362.29999999999995</v>
      </c>
    </row>
    <row r="84" spans="1:14" s="163" customFormat="1" ht="54" x14ac:dyDescent="0.35">
      <c r="A84" s="56"/>
      <c r="B84" s="659" t="s">
        <v>80</v>
      </c>
      <c r="C84" s="68" t="s">
        <v>1</v>
      </c>
      <c r="D84" s="55" t="s">
        <v>61</v>
      </c>
      <c r="E84" s="55" t="s">
        <v>102</v>
      </c>
      <c r="F84" s="799" t="s">
        <v>79</v>
      </c>
      <c r="G84" s="800" t="s">
        <v>44</v>
      </c>
      <c r="H84" s="800" t="s">
        <v>42</v>
      </c>
      <c r="I84" s="801" t="s">
        <v>43</v>
      </c>
      <c r="J84" s="55"/>
      <c r="K84" s="69">
        <f t="shared" si="24"/>
        <v>362.29999999999995</v>
      </c>
      <c r="L84" s="69">
        <f t="shared" si="24"/>
        <v>0</v>
      </c>
      <c r="M84" s="69">
        <f t="shared" si="24"/>
        <v>362.29999999999995</v>
      </c>
      <c r="N84" s="69">
        <f t="shared" si="24"/>
        <v>362.29999999999995</v>
      </c>
    </row>
    <row r="85" spans="1:14" s="163" customFormat="1" ht="72" x14ac:dyDescent="0.35">
      <c r="A85" s="56"/>
      <c r="B85" s="610" t="s">
        <v>81</v>
      </c>
      <c r="C85" s="68" t="s">
        <v>1</v>
      </c>
      <c r="D85" s="55" t="s">
        <v>61</v>
      </c>
      <c r="E85" s="55" t="s">
        <v>102</v>
      </c>
      <c r="F85" s="799" t="s">
        <v>79</v>
      </c>
      <c r="G85" s="800" t="s">
        <v>44</v>
      </c>
      <c r="H85" s="800" t="s">
        <v>36</v>
      </c>
      <c r="I85" s="801" t="s">
        <v>43</v>
      </c>
      <c r="J85" s="55"/>
      <c r="K85" s="69">
        <f>K86+K88</f>
        <v>362.29999999999995</v>
      </c>
      <c r="L85" s="69">
        <f t="shared" ref="L85" si="25">L86+L88</f>
        <v>0</v>
      </c>
      <c r="M85" s="69">
        <f>M86+M88</f>
        <v>362.29999999999995</v>
      </c>
      <c r="N85" s="69">
        <f>N86+N88</f>
        <v>362.29999999999995</v>
      </c>
    </row>
    <row r="86" spans="1:14" s="163" customFormat="1" ht="36" x14ac:dyDescent="0.35">
      <c r="A86" s="56"/>
      <c r="B86" s="659" t="s">
        <v>471</v>
      </c>
      <c r="C86" s="68" t="s">
        <v>1</v>
      </c>
      <c r="D86" s="55" t="s">
        <v>61</v>
      </c>
      <c r="E86" s="55" t="s">
        <v>102</v>
      </c>
      <c r="F86" s="799" t="s">
        <v>79</v>
      </c>
      <c r="G86" s="800" t="s">
        <v>44</v>
      </c>
      <c r="H86" s="800" t="s">
        <v>36</v>
      </c>
      <c r="I86" s="801" t="s">
        <v>82</v>
      </c>
      <c r="J86" s="55"/>
      <c r="K86" s="69">
        <f>K87</f>
        <v>298.39999999999998</v>
      </c>
      <c r="L86" s="69">
        <f t="shared" ref="L86" si="26">L87</f>
        <v>0</v>
      </c>
      <c r="M86" s="69">
        <f>M87</f>
        <v>298.39999999999998</v>
      </c>
      <c r="N86" s="69">
        <f>N87</f>
        <v>298.39999999999998</v>
      </c>
    </row>
    <row r="87" spans="1:14" s="163" customFormat="1" ht="54" x14ac:dyDescent="0.35">
      <c r="A87" s="56"/>
      <c r="B87" s="610" t="s">
        <v>53</v>
      </c>
      <c r="C87" s="68" t="s">
        <v>1</v>
      </c>
      <c r="D87" s="55" t="s">
        <v>61</v>
      </c>
      <c r="E87" s="55" t="s">
        <v>102</v>
      </c>
      <c r="F87" s="799" t="s">
        <v>79</v>
      </c>
      <c r="G87" s="800" t="s">
        <v>44</v>
      </c>
      <c r="H87" s="800" t="s">
        <v>36</v>
      </c>
      <c r="I87" s="801" t="s">
        <v>82</v>
      </c>
      <c r="J87" s="55" t="s">
        <v>54</v>
      </c>
      <c r="K87" s="69">
        <v>298.39999999999998</v>
      </c>
      <c r="L87" s="69">
        <f>M87-K87</f>
        <v>0</v>
      </c>
      <c r="M87" s="69">
        <v>298.39999999999998</v>
      </c>
      <c r="N87" s="69">
        <v>298.39999999999998</v>
      </c>
    </row>
    <row r="88" spans="1:14" s="163" customFormat="1" ht="54" x14ac:dyDescent="0.35">
      <c r="A88" s="56"/>
      <c r="B88" s="610" t="s">
        <v>83</v>
      </c>
      <c r="C88" s="68" t="s">
        <v>1</v>
      </c>
      <c r="D88" s="55" t="s">
        <v>61</v>
      </c>
      <c r="E88" s="55" t="s">
        <v>102</v>
      </c>
      <c r="F88" s="799" t="s">
        <v>79</v>
      </c>
      <c r="G88" s="800" t="s">
        <v>44</v>
      </c>
      <c r="H88" s="800" t="s">
        <v>36</v>
      </c>
      <c r="I88" s="801" t="s">
        <v>84</v>
      </c>
      <c r="J88" s="55"/>
      <c r="K88" s="69">
        <f>K89</f>
        <v>63.9</v>
      </c>
      <c r="L88" s="69">
        <f t="shared" ref="L88" si="27">L89</f>
        <v>0</v>
      </c>
      <c r="M88" s="69">
        <f>M89</f>
        <v>63.9</v>
      </c>
      <c r="N88" s="69">
        <f>N89</f>
        <v>63.9</v>
      </c>
    </row>
    <row r="89" spans="1:14" s="163" customFormat="1" ht="54" x14ac:dyDescent="0.35">
      <c r="A89" s="56"/>
      <c r="B89" s="610" t="s">
        <v>53</v>
      </c>
      <c r="C89" s="68" t="s">
        <v>1</v>
      </c>
      <c r="D89" s="55" t="s">
        <v>61</v>
      </c>
      <c r="E89" s="55" t="s">
        <v>102</v>
      </c>
      <c r="F89" s="799" t="s">
        <v>79</v>
      </c>
      <c r="G89" s="800" t="s">
        <v>44</v>
      </c>
      <c r="H89" s="800" t="s">
        <v>36</v>
      </c>
      <c r="I89" s="801" t="s">
        <v>84</v>
      </c>
      <c r="J89" s="55" t="s">
        <v>54</v>
      </c>
      <c r="K89" s="69">
        <v>63.9</v>
      </c>
      <c r="L89" s="69">
        <f>M89-K89</f>
        <v>0</v>
      </c>
      <c r="M89" s="69">
        <v>63.9</v>
      </c>
      <c r="N89" s="69">
        <v>63.9</v>
      </c>
    </row>
    <row r="90" spans="1:14" s="163" customFormat="1" ht="54" x14ac:dyDescent="0.35">
      <c r="A90" s="56"/>
      <c r="B90" s="658" t="s">
        <v>85</v>
      </c>
      <c r="C90" s="68" t="s">
        <v>1</v>
      </c>
      <c r="D90" s="55" t="s">
        <v>61</v>
      </c>
      <c r="E90" s="55" t="s">
        <v>86</v>
      </c>
      <c r="F90" s="799"/>
      <c r="G90" s="800"/>
      <c r="H90" s="800"/>
      <c r="I90" s="801"/>
      <c r="J90" s="55"/>
      <c r="K90" s="69">
        <f>K91</f>
        <v>14427.800000000001</v>
      </c>
      <c r="L90" s="69">
        <f t="shared" ref="L90" si="28">L91</f>
        <v>0</v>
      </c>
      <c r="M90" s="69">
        <f>M91</f>
        <v>14427.800000000001</v>
      </c>
      <c r="N90" s="69">
        <f>N91</f>
        <v>14428.300000000001</v>
      </c>
    </row>
    <row r="91" spans="1:14" s="163" customFormat="1" ht="54" x14ac:dyDescent="0.35">
      <c r="A91" s="56"/>
      <c r="B91" s="610" t="s">
        <v>78</v>
      </c>
      <c r="C91" s="68" t="s">
        <v>1</v>
      </c>
      <c r="D91" s="55" t="s">
        <v>61</v>
      </c>
      <c r="E91" s="55" t="s">
        <v>86</v>
      </c>
      <c r="F91" s="799" t="s">
        <v>79</v>
      </c>
      <c r="G91" s="800" t="s">
        <v>41</v>
      </c>
      <c r="H91" s="800" t="s">
        <v>42</v>
      </c>
      <c r="I91" s="801" t="s">
        <v>43</v>
      </c>
      <c r="J91" s="55"/>
      <c r="K91" s="69">
        <f>K99+K92+K105</f>
        <v>14427.800000000001</v>
      </c>
      <c r="L91" s="69">
        <f t="shared" ref="L91" si="29">L99+L92+L105</f>
        <v>0</v>
      </c>
      <c r="M91" s="69">
        <f>M99+M92+M105</f>
        <v>14427.800000000001</v>
      </c>
      <c r="N91" s="69">
        <f>N99+N92+N105</f>
        <v>14428.300000000001</v>
      </c>
    </row>
    <row r="92" spans="1:14" s="163" customFormat="1" ht="36" x14ac:dyDescent="0.35">
      <c r="A92" s="56"/>
      <c r="B92" s="658" t="s">
        <v>123</v>
      </c>
      <c r="C92" s="68" t="s">
        <v>1</v>
      </c>
      <c r="D92" s="55" t="s">
        <v>61</v>
      </c>
      <c r="E92" s="55" t="s">
        <v>86</v>
      </c>
      <c r="F92" s="799" t="s">
        <v>79</v>
      </c>
      <c r="G92" s="800" t="s">
        <v>87</v>
      </c>
      <c r="H92" s="800" t="s">
        <v>42</v>
      </c>
      <c r="I92" s="801" t="s">
        <v>43</v>
      </c>
      <c r="J92" s="55"/>
      <c r="K92" s="69">
        <f>K93+K96</f>
        <v>1747.4</v>
      </c>
      <c r="L92" s="69">
        <f t="shared" ref="L92" si="30">L93+L96</f>
        <v>0</v>
      </c>
      <c r="M92" s="69">
        <f>M93+M96</f>
        <v>1747.4</v>
      </c>
      <c r="N92" s="69">
        <f>N93+N96</f>
        <v>1747.4</v>
      </c>
    </row>
    <row r="93" spans="1:14" s="163" customFormat="1" ht="36" x14ac:dyDescent="0.35">
      <c r="A93" s="56"/>
      <c r="B93" s="658" t="s">
        <v>285</v>
      </c>
      <c r="C93" s="68" t="s">
        <v>1</v>
      </c>
      <c r="D93" s="55" t="s">
        <v>61</v>
      </c>
      <c r="E93" s="55" t="s">
        <v>86</v>
      </c>
      <c r="F93" s="799" t="s">
        <v>79</v>
      </c>
      <c r="G93" s="800" t="s">
        <v>87</v>
      </c>
      <c r="H93" s="800" t="s">
        <v>36</v>
      </c>
      <c r="I93" s="801" t="s">
        <v>43</v>
      </c>
      <c r="J93" s="55"/>
      <c r="K93" s="69">
        <f t="shared" ref="K93:N94" si="31">K94</f>
        <v>28.7</v>
      </c>
      <c r="L93" s="69">
        <f t="shared" si="31"/>
        <v>0</v>
      </c>
      <c r="M93" s="69">
        <f t="shared" si="31"/>
        <v>28.7</v>
      </c>
      <c r="N93" s="69">
        <f t="shared" si="31"/>
        <v>28.7</v>
      </c>
    </row>
    <row r="94" spans="1:14" s="163" customFormat="1" ht="36" x14ac:dyDescent="0.35">
      <c r="A94" s="56"/>
      <c r="B94" s="642" t="s">
        <v>125</v>
      </c>
      <c r="C94" s="68" t="s">
        <v>1</v>
      </c>
      <c r="D94" s="55" t="s">
        <v>61</v>
      </c>
      <c r="E94" s="55" t="s">
        <v>86</v>
      </c>
      <c r="F94" s="799" t="s">
        <v>79</v>
      </c>
      <c r="G94" s="800" t="s">
        <v>87</v>
      </c>
      <c r="H94" s="800" t="s">
        <v>36</v>
      </c>
      <c r="I94" s="801" t="s">
        <v>88</v>
      </c>
      <c r="J94" s="55"/>
      <c r="K94" s="69">
        <f t="shared" si="31"/>
        <v>28.7</v>
      </c>
      <c r="L94" s="69">
        <f t="shared" si="31"/>
        <v>0</v>
      </c>
      <c r="M94" s="69">
        <f t="shared" si="31"/>
        <v>28.7</v>
      </c>
      <c r="N94" s="69">
        <f t="shared" si="31"/>
        <v>28.7</v>
      </c>
    </row>
    <row r="95" spans="1:14" s="163" customFormat="1" ht="54" x14ac:dyDescent="0.35">
      <c r="A95" s="56"/>
      <c r="B95" s="610" t="s">
        <v>53</v>
      </c>
      <c r="C95" s="68" t="s">
        <v>1</v>
      </c>
      <c r="D95" s="55" t="s">
        <v>61</v>
      </c>
      <c r="E95" s="55" t="s">
        <v>86</v>
      </c>
      <c r="F95" s="799" t="s">
        <v>79</v>
      </c>
      <c r="G95" s="800" t="s">
        <v>87</v>
      </c>
      <c r="H95" s="800" t="s">
        <v>36</v>
      </c>
      <c r="I95" s="801" t="s">
        <v>88</v>
      </c>
      <c r="J95" s="55" t="s">
        <v>54</v>
      </c>
      <c r="K95" s="69">
        <v>28.7</v>
      </c>
      <c r="L95" s="69">
        <f>M95-K95</f>
        <v>0</v>
      </c>
      <c r="M95" s="69">
        <v>28.7</v>
      </c>
      <c r="N95" s="69">
        <v>28.7</v>
      </c>
    </row>
    <row r="96" spans="1:14" s="163" customFormat="1" ht="54" x14ac:dyDescent="0.35">
      <c r="A96" s="56"/>
      <c r="B96" s="642" t="s">
        <v>124</v>
      </c>
      <c r="C96" s="68" t="s">
        <v>1</v>
      </c>
      <c r="D96" s="55" t="s">
        <v>61</v>
      </c>
      <c r="E96" s="55" t="s">
        <v>86</v>
      </c>
      <c r="F96" s="799" t="s">
        <v>79</v>
      </c>
      <c r="G96" s="800" t="s">
        <v>87</v>
      </c>
      <c r="H96" s="800" t="s">
        <v>38</v>
      </c>
      <c r="I96" s="801" t="s">
        <v>43</v>
      </c>
      <c r="J96" s="55"/>
      <c r="K96" s="69">
        <f t="shared" ref="K96:N97" si="32">K97</f>
        <v>1718.7</v>
      </c>
      <c r="L96" s="69">
        <f t="shared" si="32"/>
        <v>0</v>
      </c>
      <c r="M96" s="69">
        <f t="shared" si="32"/>
        <v>1718.7</v>
      </c>
      <c r="N96" s="69">
        <f t="shared" si="32"/>
        <v>1718.7</v>
      </c>
    </row>
    <row r="97" spans="1:14" s="163" customFormat="1" ht="36" x14ac:dyDescent="0.35">
      <c r="A97" s="56"/>
      <c r="B97" s="642" t="s">
        <v>125</v>
      </c>
      <c r="C97" s="68" t="s">
        <v>1</v>
      </c>
      <c r="D97" s="55" t="s">
        <v>61</v>
      </c>
      <c r="E97" s="55" t="s">
        <v>86</v>
      </c>
      <c r="F97" s="799" t="s">
        <v>79</v>
      </c>
      <c r="G97" s="800" t="s">
        <v>87</v>
      </c>
      <c r="H97" s="800" t="s">
        <v>38</v>
      </c>
      <c r="I97" s="801" t="s">
        <v>88</v>
      </c>
      <c r="J97" s="55"/>
      <c r="K97" s="69">
        <f t="shared" si="32"/>
        <v>1718.7</v>
      </c>
      <c r="L97" s="69">
        <f t="shared" si="32"/>
        <v>0</v>
      </c>
      <c r="M97" s="69">
        <f t="shared" si="32"/>
        <v>1718.7</v>
      </c>
      <c r="N97" s="69">
        <f t="shared" si="32"/>
        <v>1718.7</v>
      </c>
    </row>
    <row r="98" spans="1:14" s="163" customFormat="1" ht="54" x14ac:dyDescent="0.35">
      <c r="A98" s="56"/>
      <c r="B98" s="610" t="s">
        <v>53</v>
      </c>
      <c r="C98" s="68" t="s">
        <v>1</v>
      </c>
      <c r="D98" s="55" t="s">
        <v>61</v>
      </c>
      <c r="E98" s="55" t="s">
        <v>86</v>
      </c>
      <c r="F98" s="799" t="s">
        <v>79</v>
      </c>
      <c r="G98" s="800" t="s">
        <v>87</v>
      </c>
      <c r="H98" s="800" t="s">
        <v>38</v>
      </c>
      <c r="I98" s="801" t="s">
        <v>88</v>
      </c>
      <c r="J98" s="55" t="s">
        <v>54</v>
      </c>
      <c r="K98" s="69">
        <v>1718.7</v>
      </c>
      <c r="L98" s="69">
        <f>M98-K98</f>
        <v>0</v>
      </c>
      <c r="M98" s="69">
        <v>1718.7</v>
      </c>
      <c r="N98" s="69">
        <v>1718.7</v>
      </c>
    </row>
    <row r="99" spans="1:14" s="163" customFormat="1" ht="72" x14ac:dyDescent="0.35">
      <c r="A99" s="56"/>
      <c r="B99" s="658" t="s">
        <v>389</v>
      </c>
      <c r="C99" s="68" t="s">
        <v>1</v>
      </c>
      <c r="D99" s="55" t="s">
        <v>61</v>
      </c>
      <c r="E99" s="55" t="s">
        <v>86</v>
      </c>
      <c r="F99" s="799" t="s">
        <v>79</v>
      </c>
      <c r="G99" s="800" t="s">
        <v>29</v>
      </c>
      <c r="H99" s="800" t="s">
        <v>42</v>
      </c>
      <c r="I99" s="801" t="s">
        <v>43</v>
      </c>
      <c r="J99" s="55"/>
      <c r="K99" s="69">
        <f t="shared" ref="K99:N100" si="33">K100</f>
        <v>12651.7</v>
      </c>
      <c r="L99" s="69">
        <f t="shared" si="33"/>
        <v>0</v>
      </c>
      <c r="M99" s="69">
        <f t="shared" si="33"/>
        <v>12651.7</v>
      </c>
      <c r="N99" s="69">
        <f t="shared" si="33"/>
        <v>12652.2</v>
      </c>
    </row>
    <row r="100" spans="1:14" s="163" customFormat="1" ht="72" x14ac:dyDescent="0.35">
      <c r="A100" s="56"/>
      <c r="B100" s="642" t="s">
        <v>343</v>
      </c>
      <c r="C100" s="68" t="s">
        <v>1</v>
      </c>
      <c r="D100" s="55" t="s">
        <v>61</v>
      </c>
      <c r="E100" s="55" t="s">
        <v>86</v>
      </c>
      <c r="F100" s="799" t="s">
        <v>79</v>
      </c>
      <c r="G100" s="800" t="s">
        <v>29</v>
      </c>
      <c r="H100" s="800" t="s">
        <v>36</v>
      </c>
      <c r="I100" s="801" t="s">
        <v>43</v>
      </c>
      <c r="J100" s="55"/>
      <c r="K100" s="69">
        <f t="shared" si="33"/>
        <v>12651.7</v>
      </c>
      <c r="L100" s="69">
        <f t="shared" si="33"/>
        <v>0</v>
      </c>
      <c r="M100" s="69">
        <f t="shared" si="33"/>
        <v>12651.7</v>
      </c>
      <c r="N100" s="69">
        <f t="shared" si="33"/>
        <v>12652.2</v>
      </c>
    </row>
    <row r="101" spans="1:14" s="163" customFormat="1" ht="36" x14ac:dyDescent="0.35">
      <c r="A101" s="56"/>
      <c r="B101" s="686" t="s">
        <v>484</v>
      </c>
      <c r="C101" s="68" t="s">
        <v>1</v>
      </c>
      <c r="D101" s="55" t="s">
        <v>61</v>
      </c>
      <c r="E101" s="55" t="s">
        <v>86</v>
      </c>
      <c r="F101" s="799" t="s">
        <v>79</v>
      </c>
      <c r="G101" s="800" t="s">
        <v>29</v>
      </c>
      <c r="H101" s="800" t="s">
        <v>36</v>
      </c>
      <c r="I101" s="801" t="s">
        <v>89</v>
      </c>
      <c r="J101" s="55"/>
      <c r="K101" s="69">
        <f>K102+K103+K104</f>
        <v>12651.7</v>
      </c>
      <c r="L101" s="69">
        <f t="shared" ref="L101" si="34">L102+L103+L104</f>
        <v>0</v>
      </c>
      <c r="M101" s="69">
        <f>M102+M103+M104</f>
        <v>12651.7</v>
      </c>
      <c r="N101" s="69">
        <f>N102+N103+N104</f>
        <v>12652.2</v>
      </c>
    </row>
    <row r="102" spans="1:14" s="163" customFormat="1" ht="108" x14ac:dyDescent="0.35">
      <c r="A102" s="56"/>
      <c r="B102" s="610" t="s">
        <v>48</v>
      </c>
      <c r="C102" s="68" t="s">
        <v>1</v>
      </c>
      <c r="D102" s="55" t="s">
        <v>61</v>
      </c>
      <c r="E102" s="55" t="s">
        <v>86</v>
      </c>
      <c r="F102" s="799" t="s">
        <v>79</v>
      </c>
      <c r="G102" s="800" t="s">
        <v>29</v>
      </c>
      <c r="H102" s="800" t="s">
        <v>36</v>
      </c>
      <c r="I102" s="801" t="s">
        <v>89</v>
      </c>
      <c r="J102" s="55" t="s">
        <v>49</v>
      </c>
      <c r="K102" s="69">
        <v>9327.7000000000007</v>
      </c>
      <c r="L102" s="69">
        <f>M102-K102</f>
        <v>0</v>
      </c>
      <c r="M102" s="69">
        <v>9327.7000000000007</v>
      </c>
      <c r="N102" s="69">
        <v>9327.7000000000007</v>
      </c>
    </row>
    <row r="103" spans="1:14" s="163" customFormat="1" ht="54" x14ac:dyDescent="0.35">
      <c r="A103" s="56"/>
      <c r="B103" s="610" t="s">
        <v>53</v>
      </c>
      <c r="C103" s="68" t="s">
        <v>1</v>
      </c>
      <c r="D103" s="55" t="s">
        <v>61</v>
      </c>
      <c r="E103" s="55" t="s">
        <v>86</v>
      </c>
      <c r="F103" s="799" t="s">
        <v>79</v>
      </c>
      <c r="G103" s="800" t="s">
        <v>29</v>
      </c>
      <c r="H103" s="800" t="s">
        <v>36</v>
      </c>
      <c r="I103" s="801" t="s">
        <v>89</v>
      </c>
      <c r="J103" s="55" t="s">
        <v>54</v>
      </c>
      <c r="K103" s="69">
        <v>3320.7</v>
      </c>
      <c r="L103" s="69">
        <f>M103-K103</f>
        <v>0</v>
      </c>
      <c r="M103" s="69">
        <v>3320.7</v>
      </c>
      <c r="N103" s="69">
        <v>3321.2</v>
      </c>
    </row>
    <row r="104" spans="1:14" s="163" customFormat="1" ht="18" x14ac:dyDescent="0.35">
      <c r="A104" s="56"/>
      <c r="B104" s="610" t="s">
        <v>55</v>
      </c>
      <c r="C104" s="68" t="s">
        <v>1</v>
      </c>
      <c r="D104" s="55" t="s">
        <v>61</v>
      </c>
      <c r="E104" s="55" t="s">
        <v>86</v>
      </c>
      <c r="F104" s="799" t="s">
        <v>79</v>
      </c>
      <c r="G104" s="800" t="s">
        <v>29</v>
      </c>
      <c r="H104" s="800" t="s">
        <v>36</v>
      </c>
      <c r="I104" s="801" t="s">
        <v>89</v>
      </c>
      <c r="J104" s="55" t="s">
        <v>56</v>
      </c>
      <c r="K104" s="69">
        <v>3.3</v>
      </c>
      <c r="L104" s="69">
        <f>M104-K104</f>
        <v>0</v>
      </c>
      <c r="M104" s="69">
        <v>3.3</v>
      </c>
      <c r="N104" s="69">
        <v>3.3</v>
      </c>
    </row>
    <row r="105" spans="1:14" s="163" customFormat="1" ht="54" x14ac:dyDescent="0.35">
      <c r="A105" s="56"/>
      <c r="B105" s="624" t="s">
        <v>504</v>
      </c>
      <c r="C105" s="68" t="s">
        <v>1</v>
      </c>
      <c r="D105" s="55" t="s">
        <v>61</v>
      </c>
      <c r="E105" s="55" t="s">
        <v>86</v>
      </c>
      <c r="F105" s="799" t="s">
        <v>79</v>
      </c>
      <c r="G105" s="800" t="s">
        <v>30</v>
      </c>
      <c r="H105" s="800" t="s">
        <v>42</v>
      </c>
      <c r="I105" s="801" t="s">
        <v>43</v>
      </c>
      <c r="J105" s="55"/>
      <c r="K105" s="69">
        <f t="shared" ref="K105:N107" si="35">K106</f>
        <v>28.7</v>
      </c>
      <c r="L105" s="69">
        <f t="shared" si="35"/>
        <v>0</v>
      </c>
      <c r="M105" s="69">
        <f t="shared" si="35"/>
        <v>28.7</v>
      </c>
      <c r="N105" s="69">
        <f t="shared" si="35"/>
        <v>28.7</v>
      </c>
    </row>
    <row r="106" spans="1:14" s="163" customFormat="1" ht="72" x14ac:dyDescent="0.35">
      <c r="A106" s="56"/>
      <c r="B106" s="625" t="s">
        <v>505</v>
      </c>
      <c r="C106" s="68" t="s">
        <v>1</v>
      </c>
      <c r="D106" s="55" t="s">
        <v>61</v>
      </c>
      <c r="E106" s="55" t="s">
        <v>86</v>
      </c>
      <c r="F106" s="799" t="s">
        <v>79</v>
      </c>
      <c r="G106" s="800" t="s">
        <v>30</v>
      </c>
      <c r="H106" s="800" t="s">
        <v>36</v>
      </c>
      <c r="I106" s="801" t="s">
        <v>43</v>
      </c>
      <c r="J106" s="55"/>
      <c r="K106" s="69">
        <f t="shared" si="35"/>
        <v>28.7</v>
      </c>
      <c r="L106" s="69">
        <f t="shared" si="35"/>
        <v>0</v>
      </c>
      <c r="M106" s="69">
        <f t="shared" si="35"/>
        <v>28.7</v>
      </c>
      <c r="N106" s="69">
        <f t="shared" si="35"/>
        <v>28.7</v>
      </c>
    </row>
    <row r="107" spans="1:14" s="163" customFormat="1" ht="54" x14ac:dyDescent="0.35">
      <c r="A107" s="56"/>
      <c r="B107" s="626" t="s">
        <v>83</v>
      </c>
      <c r="C107" s="68" t="s">
        <v>1</v>
      </c>
      <c r="D107" s="55" t="s">
        <v>61</v>
      </c>
      <c r="E107" s="55" t="s">
        <v>86</v>
      </c>
      <c r="F107" s="799" t="s">
        <v>79</v>
      </c>
      <c r="G107" s="800" t="s">
        <v>30</v>
      </c>
      <c r="H107" s="800" t="s">
        <v>36</v>
      </c>
      <c r="I107" s="801" t="s">
        <v>84</v>
      </c>
      <c r="J107" s="55"/>
      <c r="K107" s="69">
        <f t="shared" si="35"/>
        <v>28.7</v>
      </c>
      <c r="L107" s="69">
        <f t="shared" si="35"/>
        <v>0</v>
      </c>
      <c r="M107" s="69">
        <f t="shared" si="35"/>
        <v>28.7</v>
      </c>
      <c r="N107" s="69">
        <f t="shared" si="35"/>
        <v>28.7</v>
      </c>
    </row>
    <row r="108" spans="1:14" s="163" customFormat="1" ht="54" x14ac:dyDescent="0.35">
      <c r="A108" s="56"/>
      <c r="B108" s="627" t="s">
        <v>53</v>
      </c>
      <c r="C108" s="68" t="s">
        <v>1</v>
      </c>
      <c r="D108" s="55" t="s">
        <v>61</v>
      </c>
      <c r="E108" s="55" t="s">
        <v>86</v>
      </c>
      <c r="F108" s="799" t="s">
        <v>79</v>
      </c>
      <c r="G108" s="800" t="s">
        <v>30</v>
      </c>
      <c r="H108" s="800" t="s">
        <v>36</v>
      </c>
      <c r="I108" s="801" t="s">
        <v>84</v>
      </c>
      <c r="J108" s="55" t="s">
        <v>54</v>
      </c>
      <c r="K108" s="69">
        <v>28.7</v>
      </c>
      <c r="L108" s="69">
        <f>M108-K108</f>
        <v>0</v>
      </c>
      <c r="M108" s="69">
        <v>28.7</v>
      </c>
      <c r="N108" s="69">
        <v>28.7</v>
      </c>
    </row>
    <row r="109" spans="1:14" s="163" customFormat="1" ht="18" x14ac:dyDescent="0.35">
      <c r="A109" s="56"/>
      <c r="B109" s="610" t="s">
        <v>90</v>
      </c>
      <c r="C109" s="68" t="s">
        <v>1</v>
      </c>
      <c r="D109" s="55" t="s">
        <v>50</v>
      </c>
      <c r="E109" s="55"/>
      <c r="F109" s="799"/>
      <c r="G109" s="800"/>
      <c r="H109" s="800"/>
      <c r="I109" s="801"/>
      <c r="J109" s="55"/>
      <c r="K109" s="69">
        <f>K110+K119+K125</f>
        <v>32348.299999999996</v>
      </c>
      <c r="L109" s="69">
        <f t="shared" ref="L109" si="36">L110+L119+L125</f>
        <v>0</v>
      </c>
      <c r="M109" s="69">
        <f>M110+M119+M125</f>
        <v>32348.299999999996</v>
      </c>
      <c r="N109" s="69">
        <f>N110+N119+N125</f>
        <v>32769.4</v>
      </c>
    </row>
    <row r="110" spans="1:14" s="52" customFormat="1" ht="18" x14ac:dyDescent="0.35">
      <c r="A110" s="56"/>
      <c r="B110" s="610" t="s">
        <v>91</v>
      </c>
      <c r="C110" s="68" t="s">
        <v>1</v>
      </c>
      <c r="D110" s="55" t="s">
        <v>50</v>
      </c>
      <c r="E110" s="55" t="s">
        <v>63</v>
      </c>
      <c r="F110" s="799"/>
      <c r="G110" s="800"/>
      <c r="H110" s="800"/>
      <c r="I110" s="801"/>
      <c r="J110" s="55"/>
      <c r="K110" s="69">
        <f t="shared" ref="K110:N111" si="37">K111</f>
        <v>24038.799999999999</v>
      </c>
      <c r="L110" s="69">
        <f t="shared" si="37"/>
        <v>0</v>
      </c>
      <c r="M110" s="69">
        <f t="shared" si="37"/>
        <v>24038.799999999999</v>
      </c>
      <c r="N110" s="69">
        <f t="shared" si="37"/>
        <v>24170.7</v>
      </c>
    </row>
    <row r="111" spans="1:14" s="163" customFormat="1" ht="54" x14ac:dyDescent="0.35">
      <c r="A111" s="56"/>
      <c r="B111" s="610" t="s">
        <v>92</v>
      </c>
      <c r="C111" s="68" t="s">
        <v>1</v>
      </c>
      <c r="D111" s="55" t="s">
        <v>50</v>
      </c>
      <c r="E111" s="55" t="s">
        <v>63</v>
      </c>
      <c r="F111" s="799" t="s">
        <v>65</v>
      </c>
      <c r="G111" s="800" t="s">
        <v>41</v>
      </c>
      <c r="H111" s="800" t="s">
        <v>42</v>
      </c>
      <c r="I111" s="801" t="s">
        <v>43</v>
      </c>
      <c r="J111" s="55"/>
      <c r="K111" s="69">
        <f t="shared" si="37"/>
        <v>24038.799999999999</v>
      </c>
      <c r="L111" s="69">
        <f t="shared" si="37"/>
        <v>0</v>
      </c>
      <c r="M111" s="69">
        <f t="shared" si="37"/>
        <v>24038.799999999999</v>
      </c>
      <c r="N111" s="69">
        <f t="shared" si="37"/>
        <v>24170.7</v>
      </c>
    </row>
    <row r="112" spans="1:14" s="52" customFormat="1" ht="36" x14ac:dyDescent="0.35">
      <c r="A112" s="56"/>
      <c r="B112" s="610" t="s">
        <v>359</v>
      </c>
      <c r="C112" s="68" t="s">
        <v>1</v>
      </c>
      <c r="D112" s="55" t="s">
        <v>50</v>
      </c>
      <c r="E112" s="55" t="s">
        <v>63</v>
      </c>
      <c r="F112" s="799" t="s">
        <v>65</v>
      </c>
      <c r="G112" s="800" t="s">
        <v>44</v>
      </c>
      <c r="H112" s="800" t="s">
        <v>42</v>
      </c>
      <c r="I112" s="801" t="s">
        <v>43</v>
      </c>
      <c r="J112" s="55"/>
      <c r="K112" s="69">
        <f>K113+K116</f>
        <v>24038.799999999999</v>
      </c>
      <c r="L112" s="69">
        <f t="shared" ref="L112" si="38">L113+L116</f>
        <v>0</v>
      </c>
      <c r="M112" s="69">
        <f>M113+M116</f>
        <v>24038.799999999999</v>
      </c>
      <c r="N112" s="69">
        <f>N113+N116</f>
        <v>24170.7</v>
      </c>
    </row>
    <row r="113" spans="1:14" s="52" customFormat="1" ht="54" x14ac:dyDescent="0.35">
      <c r="A113" s="56"/>
      <c r="B113" s="610" t="s">
        <v>93</v>
      </c>
      <c r="C113" s="68" t="s">
        <v>1</v>
      </c>
      <c r="D113" s="55" t="s">
        <v>50</v>
      </c>
      <c r="E113" s="55" t="s">
        <v>63</v>
      </c>
      <c r="F113" s="799" t="s">
        <v>65</v>
      </c>
      <c r="G113" s="800" t="s">
        <v>44</v>
      </c>
      <c r="H113" s="800" t="s">
        <v>36</v>
      </c>
      <c r="I113" s="801" t="s">
        <v>43</v>
      </c>
      <c r="J113" s="55"/>
      <c r="K113" s="69">
        <f t="shared" ref="K113:N114" si="39">K114</f>
        <v>20740</v>
      </c>
      <c r="L113" s="69">
        <f t="shared" si="39"/>
        <v>0</v>
      </c>
      <c r="M113" s="69">
        <f t="shared" si="39"/>
        <v>20740</v>
      </c>
      <c r="N113" s="69">
        <f t="shared" si="39"/>
        <v>20740</v>
      </c>
    </row>
    <row r="114" spans="1:14" s="52" customFormat="1" ht="72" x14ac:dyDescent="0.35">
      <c r="A114" s="56"/>
      <c r="B114" s="657" t="s">
        <v>430</v>
      </c>
      <c r="C114" s="68" t="s">
        <v>1</v>
      </c>
      <c r="D114" s="55" t="s">
        <v>50</v>
      </c>
      <c r="E114" s="55" t="s">
        <v>63</v>
      </c>
      <c r="F114" s="799" t="s">
        <v>65</v>
      </c>
      <c r="G114" s="800" t="s">
        <v>44</v>
      </c>
      <c r="H114" s="800" t="s">
        <v>36</v>
      </c>
      <c r="I114" s="801" t="s">
        <v>59</v>
      </c>
      <c r="J114" s="55"/>
      <c r="K114" s="69">
        <f t="shared" si="39"/>
        <v>20740</v>
      </c>
      <c r="L114" s="69">
        <f t="shared" si="39"/>
        <v>0</v>
      </c>
      <c r="M114" s="69">
        <f t="shared" si="39"/>
        <v>20740</v>
      </c>
      <c r="N114" s="69">
        <f t="shared" si="39"/>
        <v>20740</v>
      </c>
    </row>
    <row r="115" spans="1:14" s="163" customFormat="1" ht="18" x14ac:dyDescent="0.35">
      <c r="A115" s="56"/>
      <c r="B115" s="610" t="s">
        <v>55</v>
      </c>
      <c r="C115" s="68" t="s">
        <v>1</v>
      </c>
      <c r="D115" s="55" t="s">
        <v>50</v>
      </c>
      <c r="E115" s="55" t="s">
        <v>63</v>
      </c>
      <c r="F115" s="799" t="s">
        <v>65</v>
      </c>
      <c r="G115" s="800" t="s">
        <v>44</v>
      </c>
      <c r="H115" s="800" t="s">
        <v>36</v>
      </c>
      <c r="I115" s="801" t="s">
        <v>59</v>
      </c>
      <c r="J115" s="55" t="s">
        <v>56</v>
      </c>
      <c r="K115" s="69">
        <v>20740</v>
      </c>
      <c r="L115" s="69">
        <f>M115-K115</f>
        <v>0</v>
      </c>
      <c r="M115" s="69">
        <v>20740</v>
      </c>
      <c r="N115" s="69">
        <v>20740</v>
      </c>
    </row>
    <row r="116" spans="1:14" s="52" customFormat="1" ht="54" x14ac:dyDescent="0.35">
      <c r="A116" s="56"/>
      <c r="B116" s="610" t="s">
        <v>94</v>
      </c>
      <c r="C116" s="68" t="s">
        <v>1</v>
      </c>
      <c r="D116" s="55" t="s">
        <v>50</v>
      </c>
      <c r="E116" s="55" t="s">
        <v>63</v>
      </c>
      <c r="F116" s="799" t="s">
        <v>65</v>
      </c>
      <c r="G116" s="800" t="s">
        <v>44</v>
      </c>
      <c r="H116" s="800" t="s">
        <v>38</v>
      </c>
      <c r="I116" s="801" t="s">
        <v>43</v>
      </c>
      <c r="J116" s="55"/>
      <c r="K116" s="69">
        <f t="shared" ref="K116:N117" si="40">K117</f>
        <v>3298.8</v>
      </c>
      <c r="L116" s="69">
        <f t="shared" si="40"/>
        <v>0</v>
      </c>
      <c r="M116" s="69">
        <f t="shared" si="40"/>
        <v>3298.8</v>
      </c>
      <c r="N116" s="69">
        <f t="shared" si="40"/>
        <v>3430.7</v>
      </c>
    </row>
    <row r="117" spans="1:14" s="52" customFormat="1" ht="180" x14ac:dyDescent="0.35">
      <c r="A117" s="56"/>
      <c r="B117" s="610" t="s">
        <v>540</v>
      </c>
      <c r="C117" s="68" t="s">
        <v>1</v>
      </c>
      <c r="D117" s="55" t="s">
        <v>50</v>
      </c>
      <c r="E117" s="55" t="s">
        <v>63</v>
      </c>
      <c r="F117" s="799" t="s">
        <v>65</v>
      </c>
      <c r="G117" s="800" t="s">
        <v>44</v>
      </c>
      <c r="H117" s="800" t="s">
        <v>38</v>
      </c>
      <c r="I117" s="801" t="s">
        <v>95</v>
      </c>
      <c r="J117" s="55"/>
      <c r="K117" s="69">
        <f t="shared" si="40"/>
        <v>3298.8</v>
      </c>
      <c r="L117" s="69">
        <f t="shared" si="40"/>
        <v>0</v>
      </c>
      <c r="M117" s="69">
        <f t="shared" si="40"/>
        <v>3298.8</v>
      </c>
      <c r="N117" s="69">
        <f t="shared" si="40"/>
        <v>3430.7</v>
      </c>
    </row>
    <row r="118" spans="1:14" s="163" customFormat="1" ht="54" x14ac:dyDescent="0.35">
      <c r="A118" s="56"/>
      <c r="B118" s="610" t="s">
        <v>53</v>
      </c>
      <c r="C118" s="68" t="s">
        <v>1</v>
      </c>
      <c r="D118" s="55" t="s">
        <v>50</v>
      </c>
      <c r="E118" s="55" t="s">
        <v>63</v>
      </c>
      <c r="F118" s="799" t="s">
        <v>65</v>
      </c>
      <c r="G118" s="800" t="s">
        <v>44</v>
      </c>
      <c r="H118" s="800" t="s">
        <v>38</v>
      </c>
      <c r="I118" s="801" t="s">
        <v>95</v>
      </c>
      <c r="J118" s="55" t="s">
        <v>54</v>
      </c>
      <c r="K118" s="69">
        <v>3298.8</v>
      </c>
      <c r="L118" s="69">
        <f>M118-K118</f>
        <v>0</v>
      </c>
      <c r="M118" s="69">
        <v>3298.8</v>
      </c>
      <c r="N118" s="69">
        <v>3430.7</v>
      </c>
    </row>
    <row r="119" spans="1:14" s="52" customFormat="1" ht="18" x14ac:dyDescent="0.35">
      <c r="A119" s="56"/>
      <c r="B119" s="658" t="s">
        <v>96</v>
      </c>
      <c r="C119" s="68" t="s">
        <v>1</v>
      </c>
      <c r="D119" s="55" t="s">
        <v>50</v>
      </c>
      <c r="E119" s="55" t="s">
        <v>77</v>
      </c>
      <c r="F119" s="799"/>
      <c r="G119" s="800"/>
      <c r="H119" s="800"/>
      <c r="I119" s="801"/>
      <c r="J119" s="55"/>
      <c r="K119" s="69">
        <f t="shared" ref="K119:N123" si="41">K120</f>
        <v>7183.4</v>
      </c>
      <c r="L119" s="69">
        <f t="shared" si="41"/>
        <v>0</v>
      </c>
      <c r="M119" s="69">
        <f t="shared" si="41"/>
        <v>7183.4</v>
      </c>
      <c r="N119" s="69">
        <f t="shared" si="41"/>
        <v>7472.6</v>
      </c>
    </row>
    <row r="120" spans="1:14" s="163" customFormat="1" ht="54" x14ac:dyDescent="0.35">
      <c r="A120" s="56"/>
      <c r="B120" s="610" t="s">
        <v>97</v>
      </c>
      <c r="C120" s="68" t="s">
        <v>1</v>
      </c>
      <c r="D120" s="55" t="s">
        <v>50</v>
      </c>
      <c r="E120" s="55" t="s">
        <v>77</v>
      </c>
      <c r="F120" s="799" t="s">
        <v>98</v>
      </c>
      <c r="G120" s="800" t="s">
        <v>41</v>
      </c>
      <c r="H120" s="800" t="s">
        <v>42</v>
      </c>
      <c r="I120" s="801" t="s">
        <v>43</v>
      </c>
      <c r="J120" s="55"/>
      <c r="K120" s="69">
        <f t="shared" si="41"/>
        <v>7183.4</v>
      </c>
      <c r="L120" s="69">
        <f t="shared" si="41"/>
        <v>0</v>
      </c>
      <c r="M120" s="69">
        <f t="shared" si="41"/>
        <v>7183.4</v>
      </c>
      <c r="N120" s="69">
        <f t="shared" si="41"/>
        <v>7472.6</v>
      </c>
    </row>
    <row r="121" spans="1:14" s="52" customFormat="1" ht="36" x14ac:dyDescent="0.35">
      <c r="A121" s="56"/>
      <c r="B121" s="610" t="s">
        <v>359</v>
      </c>
      <c r="C121" s="68" t="s">
        <v>1</v>
      </c>
      <c r="D121" s="55" t="s">
        <v>50</v>
      </c>
      <c r="E121" s="55" t="s">
        <v>77</v>
      </c>
      <c r="F121" s="799" t="s">
        <v>98</v>
      </c>
      <c r="G121" s="800" t="s">
        <v>44</v>
      </c>
      <c r="H121" s="800" t="s">
        <v>42</v>
      </c>
      <c r="I121" s="801" t="s">
        <v>43</v>
      </c>
      <c r="J121" s="55"/>
      <c r="K121" s="69">
        <f t="shared" si="41"/>
        <v>7183.4</v>
      </c>
      <c r="L121" s="69">
        <f t="shared" si="41"/>
        <v>0</v>
      </c>
      <c r="M121" s="69">
        <f t="shared" si="41"/>
        <v>7183.4</v>
      </c>
      <c r="N121" s="69">
        <f t="shared" si="41"/>
        <v>7472.6</v>
      </c>
    </row>
    <row r="122" spans="1:14" s="52" customFormat="1" ht="90" x14ac:dyDescent="0.35">
      <c r="A122" s="56"/>
      <c r="B122" s="610" t="s">
        <v>99</v>
      </c>
      <c r="C122" s="68" t="s">
        <v>1</v>
      </c>
      <c r="D122" s="55" t="s">
        <v>50</v>
      </c>
      <c r="E122" s="55" t="s">
        <v>77</v>
      </c>
      <c r="F122" s="799" t="s">
        <v>98</v>
      </c>
      <c r="G122" s="800" t="s">
        <v>44</v>
      </c>
      <c r="H122" s="800" t="s">
        <v>36</v>
      </c>
      <c r="I122" s="801" t="s">
        <v>43</v>
      </c>
      <c r="J122" s="55"/>
      <c r="K122" s="69">
        <f t="shared" si="41"/>
        <v>7183.4</v>
      </c>
      <c r="L122" s="69">
        <f t="shared" si="41"/>
        <v>0</v>
      </c>
      <c r="M122" s="69">
        <f t="shared" si="41"/>
        <v>7183.4</v>
      </c>
      <c r="N122" s="69">
        <f t="shared" si="41"/>
        <v>7472.6</v>
      </c>
    </row>
    <row r="123" spans="1:14" s="52" customFormat="1" ht="72" x14ac:dyDescent="0.35">
      <c r="A123" s="56"/>
      <c r="B123" s="659" t="s">
        <v>100</v>
      </c>
      <c r="C123" s="68" t="s">
        <v>1</v>
      </c>
      <c r="D123" s="55" t="s">
        <v>50</v>
      </c>
      <c r="E123" s="55" t="s">
        <v>77</v>
      </c>
      <c r="F123" s="799" t="s">
        <v>98</v>
      </c>
      <c r="G123" s="800" t="s">
        <v>44</v>
      </c>
      <c r="H123" s="800" t="s">
        <v>36</v>
      </c>
      <c r="I123" s="801" t="s">
        <v>101</v>
      </c>
      <c r="J123" s="55"/>
      <c r="K123" s="69">
        <f t="shared" si="41"/>
        <v>7183.4</v>
      </c>
      <c r="L123" s="69">
        <f t="shared" si="41"/>
        <v>0</v>
      </c>
      <c r="M123" s="69">
        <f t="shared" si="41"/>
        <v>7183.4</v>
      </c>
      <c r="N123" s="69">
        <f t="shared" si="41"/>
        <v>7472.6</v>
      </c>
    </row>
    <row r="124" spans="1:14" s="163" customFormat="1" ht="54" x14ac:dyDescent="0.35">
      <c r="A124" s="56"/>
      <c r="B124" s="610" t="s">
        <v>53</v>
      </c>
      <c r="C124" s="68" t="s">
        <v>1</v>
      </c>
      <c r="D124" s="55" t="s">
        <v>50</v>
      </c>
      <c r="E124" s="55" t="s">
        <v>77</v>
      </c>
      <c r="F124" s="799" t="s">
        <v>98</v>
      </c>
      <c r="G124" s="800" t="s">
        <v>44</v>
      </c>
      <c r="H124" s="800" t="s">
        <v>36</v>
      </c>
      <c r="I124" s="801" t="s">
        <v>101</v>
      </c>
      <c r="J124" s="55" t="s">
        <v>54</v>
      </c>
      <c r="K124" s="69">
        <v>7183.4</v>
      </c>
      <c r="L124" s="69">
        <f>M124-K124</f>
        <v>0</v>
      </c>
      <c r="M124" s="69">
        <v>7183.4</v>
      </c>
      <c r="N124" s="69">
        <v>7472.6</v>
      </c>
    </row>
    <row r="125" spans="1:14" s="52" customFormat="1" ht="36" x14ac:dyDescent="0.35">
      <c r="A125" s="56"/>
      <c r="B125" s="658" t="s">
        <v>104</v>
      </c>
      <c r="C125" s="68" t="s">
        <v>1</v>
      </c>
      <c r="D125" s="55" t="s">
        <v>50</v>
      </c>
      <c r="E125" s="55" t="s">
        <v>98</v>
      </c>
      <c r="F125" s="799"/>
      <c r="G125" s="800"/>
      <c r="H125" s="800"/>
      <c r="I125" s="801"/>
      <c r="J125" s="55"/>
      <c r="K125" s="69">
        <f>K126+K135</f>
        <v>1126.0999999999999</v>
      </c>
      <c r="L125" s="69">
        <f t="shared" ref="L125" si="42">L126+L135</f>
        <v>0</v>
      </c>
      <c r="M125" s="69">
        <f>M126+M135</f>
        <v>1126.0999999999999</v>
      </c>
      <c r="N125" s="69">
        <f>N126+N135</f>
        <v>1126.0999999999999</v>
      </c>
    </row>
    <row r="126" spans="1:14" s="163" customFormat="1" ht="72" x14ac:dyDescent="0.35">
      <c r="A126" s="56"/>
      <c r="B126" s="610" t="s">
        <v>105</v>
      </c>
      <c r="C126" s="68" t="s">
        <v>1</v>
      </c>
      <c r="D126" s="55" t="s">
        <v>50</v>
      </c>
      <c r="E126" s="55" t="s">
        <v>98</v>
      </c>
      <c r="F126" s="799" t="s">
        <v>69</v>
      </c>
      <c r="G126" s="800" t="s">
        <v>41</v>
      </c>
      <c r="H126" s="800" t="s">
        <v>42</v>
      </c>
      <c r="I126" s="801" t="s">
        <v>43</v>
      </c>
      <c r="J126" s="55"/>
      <c r="K126" s="69">
        <f>K131+K127</f>
        <v>1076.0999999999999</v>
      </c>
      <c r="L126" s="69">
        <f t="shared" ref="L126" si="43">L131+L127</f>
        <v>0</v>
      </c>
      <c r="M126" s="69">
        <f>M131+M127</f>
        <v>1076.0999999999999</v>
      </c>
      <c r="N126" s="69">
        <f>N131+N127</f>
        <v>1076.0999999999999</v>
      </c>
    </row>
    <row r="127" spans="1:14" s="163" customFormat="1" ht="54" x14ac:dyDescent="0.35">
      <c r="A127" s="56"/>
      <c r="B127" s="658" t="s">
        <v>106</v>
      </c>
      <c r="C127" s="68" t="s">
        <v>1</v>
      </c>
      <c r="D127" s="55" t="s">
        <v>50</v>
      </c>
      <c r="E127" s="55" t="s">
        <v>98</v>
      </c>
      <c r="F127" s="799" t="s">
        <v>69</v>
      </c>
      <c r="G127" s="800" t="s">
        <v>44</v>
      </c>
      <c r="H127" s="800" t="s">
        <v>42</v>
      </c>
      <c r="I127" s="801" t="s">
        <v>43</v>
      </c>
      <c r="J127" s="55"/>
      <c r="K127" s="69">
        <f t="shared" ref="K127:N129" si="44">K128</f>
        <v>350</v>
      </c>
      <c r="L127" s="69">
        <f t="shared" si="44"/>
        <v>0</v>
      </c>
      <c r="M127" s="69">
        <f t="shared" si="44"/>
        <v>350</v>
      </c>
      <c r="N127" s="69">
        <f t="shared" si="44"/>
        <v>350</v>
      </c>
    </row>
    <row r="128" spans="1:14" s="163" customFormat="1" ht="36" x14ac:dyDescent="0.35">
      <c r="A128" s="56"/>
      <c r="B128" s="610" t="s">
        <v>107</v>
      </c>
      <c r="C128" s="68" t="s">
        <v>1</v>
      </c>
      <c r="D128" s="55" t="s">
        <v>50</v>
      </c>
      <c r="E128" s="55" t="s">
        <v>98</v>
      </c>
      <c r="F128" s="799" t="s">
        <v>69</v>
      </c>
      <c r="G128" s="800" t="s">
        <v>44</v>
      </c>
      <c r="H128" s="800" t="s">
        <v>36</v>
      </c>
      <c r="I128" s="801" t="s">
        <v>43</v>
      </c>
      <c r="J128" s="55"/>
      <c r="K128" s="69">
        <f t="shared" si="44"/>
        <v>350</v>
      </c>
      <c r="L128" s="69">
        <f t="shared" si="44"/>
        <v>0</v>
      </c>
      <c r="M128" s="69">
        <f t="shared" si="44"/>
        <v>350</v>
      </c>
      <c r="N128" s="69">
        <f t="shared" si="44"/>
        <v>350</v>
      </c>
    </row>
    <row r="129" spans="1:14" s="163" customFormat="1" ht="36" x14ac:dyDescent="0.35">
      <c r="A129" s="56"/>
      <c r="B129" s="658" t="s">
        <v>108</v>
      </c>
      <c r="C129" s="68" t="s">
        <v>1</v>
      </c>
      <c r="D129" s="55" t="s">
        <v>50</v>
      </c>
      <c r="E129" s="55" t="s">
        <v>98</v>
      </c>
      <c r="F129" s="799" t="s">
        <v>69</v>
      </c>
      <c r="G129" s="800" t="s">
        <v>44</v>
      </c>
      <c r="H129" s="800" t="s">
        <v>36</v>
      </c>
      <c r="I129" s="801" t="s">
        <v>109</v>
      </c>
      <c r="J129" s="55"/>
      <c r="K129" s="69">
        <f t="shared" si="44"/>
        <v>350</v>
      </c>
      <c r="L129" s="69">
        <f t="shared" si="44"/>
        <v>0</v>
      </c>
      <c r="M129" s="69">
        <f t="shared" si="44"/>
        <v>350</v>
      </c>
      <c r="N129" s="69">
        <f t="shared" si="44"/>
        <v>350</v>
      </c>
    </row>
    <row r="130" spans="1:14" s="163" customFormat="1" ht="54" x14ac:dyDescent="0.35">
      <c r="A130" s="56"/>
      <c r="B130" s="610" t="s">
        <v>53</v>
      </c>
      <c r="C130" s="68" t="s">
        <v>1</v>
      </c>
      <c r="D130" s="55" t="s">
        <v>50</v>
      </c>
      <c r="E130" s="55" t="s">
        <v>98</v>
      </c>
      <c r="F130" s="799" t="s">
        <v>69</v>
      </c>
      <c r="G130" s="800" t="s">
        <v>44</v>
      </c>
      <c r="H130" s="800" t="s">
        <v>36</v>
      </c>
      <c r="I130" s="801" t="s">
        <v>109</v>
      </c>
      <c r="J130" s="55" t="s">
        <v>54</v>
      </c>
      <c r="K130" s="69">
        <v>350</v>
      </c>
      <c r="L130" s="69">
        <f>M130-K130</f>
        <v>0</v>
      </c>
      <c r="M130" s="69">
        <v>350</v>
      </c>
      <c r="N130" s="69">
        <v>350</v>
      </c>
    </row>
    <row r="131" spans="1:14" s="163" customFormat="1" ht="36" x14ac:dyDescent="0.35">
      <c r="A131" s="56"/>
      <c r="B131" s="658" t="s">
        <v>110</v>
      </c>
      <c r="C131" s="68" t="s">
        <v>1</v>
      </c>
      <c r="D131" s="55" t="s">
        <v>50</v>
      </c>
      <c r="E131" s="55" t="s">
        <v>98</v>
      </c>
      <c r="F131" s="799" t="s">
        <v>69</v>
      </c>
      <c r="G131" s="800" t="s">
        <v>87</v>
      </c>
      <c r="H131" s="800" t="s">
        <v>42</v>
      </c>
      <c r="I131" s="801" t="s">
        <v>43</v>
      </c>
      <c r="J131" s="55"/>
      <c r="K131" s="69">
        <f t="shared" ref="K131:N133" si="45">K132</f>
        <v>726.1</v>
      </c>
      <c r="L131" s="69">
        <f t="shared" si="45"/>
        <v>0</v>
      </c>
      <c r="M131" s="69">
        <f t="shared" si="45"/>
        <v>726.1</v>
      </c>
      <c r="N131" s="69">
        <f t="shared" si="45"/>
        <v>726.1</v>
      </c>
    </row>
    <row r="132" spans="1:14" s="52" customFormat="1" ht="54" x14ac:dyDescent="0.35">
      <c r="A132" s="56"/>
      <c r="B132" s="658" t="s">
        <v>111</v>
      </c>
      <c r="C132" s="68" t="s">
        <v>1</v>
      </c>
      <c r="D132" s="55" t="s">
        <v>50</v>
      </c>
      <c r="E132" s="55" t="s">
        <v>98</v>
      </c>
      <c r="F132" s="799" t="s">
        <v>69</v>
      </c>
      <c r="G132" s="800" t="s">
        <v>87</v>
      </c>
      <c r="H132" s="800" t="s">
        <v>36</v>
      </c>
      <c r="I132" s="801" t="s">
        <v>43</v>
      </c>
      <c r="J132" s="55"/>
      <c r="K132" s="69">
        <f t="shared" si="45"/>
        <v>726.1</v>
      </c>
      <c r="L132" s="69">
        <f t="shared" si="45"/>
        <v>0</v>
      </c>
      <c r="M132" s="69">
        <f t="shared" si="45"/>
        <v>726.1</v>
      </c>
      <c r="N132" s="69">
        <f t="shared" si="45"/>
        <v>726.1</v>
      </c>
    </row>
    <row r="133" spans="1:14" s="163" customFormat="1" ht="72" x14ac:dyDescent="0.35">
      <c r="A133" s="56"/>
      <c r="B133" s="658" t="s">
        <v>112</v>
      </c>
      <c r="C133" s="68" t="s">
        <v>1</v>
      </c>
      <c r="D133" s="55" t="s">
        <v>50</v>
      </c>
      <c r="E133" s="55" t="s">
        <v>98</v>
      </c>
      <c r="F133" s="799" t="s">
        <v>69</v>
      </c>
      <c r="G133" s="800" t="s">
        <v>87</v>
      </c>
      <c r="H133" s="800" t="s">
        <v>36</v>
      </c>
      <c r="I133" s="801" t="s">
        <v>113</v>
      </c>
      <c r="J133" s="55"/>
      <c r="K133" s="69">
        <f t="shared" si="45"/>
        <v>726.1</v>
      </c>
      <c r="L133" s="69">
        <f t="shared" si="45"/>
        <v>0</v>
      </c>
      <c r="M133" s="69">
        <f t="shared" si="45"/>
        <v>726.1</v>
      </c>
      <c r="N133" s="69">
        <f t="shared" si="45"/>
        <v>726.1</v>
      </c>
    </row>
    <row r="134" spans="1:14" s="52" customFormat="1" ht="54" x14ac:dyDescent="0.35">
      <c r="A134" s="56"/>
      <c r="B134" s="610" t="s">
        <v>53</v>
      </c>
      <c r="C134" s="68" t="s">
        <v>1</v>
      </c>
      <c r="D134" s="55" t="s">
        <v>50</v>
      </c>
      <c r="E134" s="55" t="s">
        <v>98</v>
      </c>
      <c r="F134" s="799" t="s">
        <v>69</v>
      </c>
      <c r="G134" s="800" t="s">
        <v>87</v>
      </c>
      <c r="H134" s="800" t="s">
        <v>36</v>
      </c>
      <c r="I134" s="801" t="s">
        <v>113</v>
      </c>
      <c r="J134" s="55" t="s">
        <v>54</v>
      </c>
      <c r="K134" s="69">
        <v>726.1</v>
      </c>
      <c r="L134" s="69">
        <f>M134-K134</f>
        <v>0</v>
      </c>
      <c r="M134" s="69">
        <v>726.1</v>
      </c>
      <c r="N134" s="69">
        <v>726.1</v>
      </c>
    </row>
    <row r="135" spans="1:14" s="163" customFormat="1" ht="72" x14ac:dyDescent="0.35">
      <c r="A135" s="56"/>
      <c r="B135" s="610" t="s">
        <v>114</v>
      </c>
      <c r="C135" s="68" t="s">
        <v>1</v>
      </c>
      <c r="D135" s="55" t="s">
        <v>50</v>
      </c>
      <c r="E135" s="55" t="s">
        <v>98</v>
      </c>
      <c r="F135" s="799" t="s">
        <v>86</v>
      </c>
      <c r="G135" s="800" t="s">
        <v>41</v>
      </c>
      <c r="H135" s="800" t="s">
        <v>42</v>
      </c>
      <c r="I135" s="801" t="s">
        <v>43</v>
      </c>
      <c r="J135" s="55"/>
      <c r="K135" s="69">
        <f t="shared" ref="K135:N136" si="46">K136</f>
        <v>50</v>
      </c>
      <c r="L135" s="69">
        <f t="shared" si="46"/>
        <v>0</v>
      </c>
      <c r="M135" s="69">
        <f t="shared" si="46"/>
        <v>50</v>
      </c>
      <c r="N135" s="69">
        <f t="shared" si="46"/>
        <v>50</v>
      </c>
    </row>
    <row r="136" spans="1:14" s="163" customFormat="1" ht="36" x14ac:dyDescent="0.35">
      <c r="A136" s="56"/>
      <c r="B136" s="610" t="s">
        <v>359</v>
      </c>
      <c r="C136" s="68" t="s">
        <v>1</v>
      </c>
      <c r="D136" s="55" t="s">
        <v>50</v>
      </c>
      <c r="E136" s="55" t="s">
        <v>98</v>
      </c>
      <c r="F136" s="799" t="s">
        <v>86</v>
      </c>
      <c r="G136" s="800" t="s">
        <v>44</v>
      </c>
      <c r="H136" s="800" t="s">
        <v>42</v>
      </c>
      <c r="I136" s="801" t="s">
        <v>43</v>
      </c>
      <c r="J136" s="55"/>
      <c r="K136" s="69">
        <f t="shared" si="46"/>
        <v>50</v>
      </c>
      <c r="L136" s="69">
        <f t="shared" si="46"/>
        <v>0</v>
      </c>
      <c r="M136" s="69">
        <f t="shared" si="46"/>
        <v>50</v>
      </c>
      <c r="N136" s="69">
        <f t="shared" si="46"/>
        <v>50</v>
      </c>
    </row>
    <row r="137" spans="1:14" s="52" customFormat="1" ht="72" x14ac:dyDescent="0.35">
      <c r="A137" s="56"/>
      <c r="B137" s="658" t="s">
        <v>321</v>
      </c>
      <c r="C137" s="68" t="s">
        <v>1</v>
      </c>
      <c r="D137" s="55" t="s">
        <v>50</v>
      </c>
      <c r="E137" s="55" t="s">
        <v>98</v>
      </c>
      <c r="F137" s="799" t="s">
        <v>86</v>
      </c>
      <c r="G137" s="800" t="s">
        <v>44</v>
      </c>
      <c r="H137" s="800" t="s">
        <v>36</v>
      </c>
      <c r="I137" s="801" t="s">
        <v>43</v>
      </c>
      <c r="J137" s="55"/>
      <c r="K137" s="69">
        <f t="shared" ref="K137:N138" si="47">K138</f>
        <v>50</v>
      </c>
      <c r="L137" s="69">
        <f t="shared" si="47"/>
        <v>0</v>
      </c>
      <c r="M137" s="69">
        <f t="shared" si="47"/>
        <v>50</v>
      </c>
      <c r="N137" s="69">
        <f t="shared" si="47"/>
        <v>50</v>
      </c>
    </row>
    <row r="138" spans="1:14" s="52" customFormat="1" ht="54" x14ac:dyDescent="0.35">
      <c r="A138" s="56"/>
      <c r="B138" s="658" t="s">
        <v>115</v>
      </c>
      <c r="C138" s="68" t="s">
        <v>1</v>
      </c>
      <c r="D138" s="55" t="s">
        <v>50</v>
      </c>
      <c r="E138" s="55" t="s">
        <v>98</v>
      </c>
      <c r="F138" s="799" t="s">
        <v>86</v>
      </c>
      <c r="G138" s="800" t="s">
        <v>44</v>
      </c>
      <c r="H138" s="800" t="s">
        <v>36</v>
      </c>
      <c r="I138" s="801" t="s">
        <v>116</v>
      </c>
      <c r="J138" s="55"/>
      <c r="K138" s="69">
        <f t="shared" si="47"/>
        <v>50</v>
      </c>
      <c r="L138" s="69">
        <f t="shared" si="47"/>
        <v>0</v>
      </c>
      <c r="M138" s="69">
        <f t="shared" si="47"/>
        <v>50</v>
      </c>
      <c r="N138" s="69">
        <f t="shared" si="47"/>
        <v>50</v>
      </c>
    </row>
    <row r="139" spans="1:14" s="52" customFormat="1" ht="54" x14ac:dyDescent="0.35">
      <c r="A139" s="56"/>
      <c r="B139" s="610" t="s">
        <v>53</v>
      </c>
      <c r="C139" s="68" t="s">
        <v>1</v>
      </c>
      <c r="D139" s="55" t="s">
        <v>50</v>
      </c>
      <c r="E139" s="55" t="s">
        <v>98</v>
      </c>
      <c r="F139" s="799" t="s">
        <v>86</v>
      </c>
      <c r="G139" s="800" t="s">
        <v>44</v>
      </c>
      <c r="H139" s="800" t="s">
        <v>36</v>
      </c>
      <c r="I139" s="801" t="s">
        <v>116</v>
      </c>
      <c r="J139" s="55" t="s">
        <v>54</v>
      </c>
      <c r="K139" s="69">
        <v>50</v>
      </c>
      <c r="L139" s="69">
        <f>M139-K139</f>
        <v>0</v>
      </c>
      <c r="M139" s="69">
        <v>50</v>
      </c>
      <c r="N139" s="69">
        <v>50</v>
      </c>
    </row>
    <row r="140" spans="1:14" s="52" customFormat="1" ht="18" x14ac:dyDescent="0.35">
      <c r="A140" s="56"/>
      <c r="B140" s="610" t="s">
        <v>177</v>
      </c>
      <c r="C140" s="68" t="s">
        <v>1</v>
      </c>
      <c r="D140" s="55" t="s">
        <v>221</v>
      </c>
      <c r="E140" s="55"/>
      <c r="F140" s="799"/>
      <c r="G140" s="800"/>
      <c r="H140" s="800"/>
      <c r="I140" s="801"/>
      <c r="J140" s="55"/>
      <c r="K140" s="69">
        <f>K141</f>
        <v>64.3</v>
      </c>
      <c r="L140" s="69">
        <f t="shared" ref="L140" si="48">L141</f>
        <v>0</v>
      </c>
      <c r="M140" s="69">
        <f>M141</f>
        <v>64.3</v>
      </c>
      <c r="N140" s="69">
        <f>N141</f>
        <v>64.3</v>
      </c>
    </row>
    <row r="141" spans="1:14" s="52" customFormat="1" ht="36" x14ac:dyDescent="0.35">
      <c r="A141" s="56"/>
      <c r="B141" s="610" t="s">
        <v>542</v>
      </c>
      <c r="C141" s="68" t="s">
        <v>1</v>
      </c>
      <c r="D141" s="55" t="s">
        <v>221</v>
      </c>
      <c r="E141" s="55" t="s">
        <v>63</v>
      </c>
      <c r="F141" s="799"/>
      <c r="G141" s="800"/>
      <c r="H141" s="800"/>
      <c r="I141" s="801"/>
      <c r="J141" s="55"/>
      <c r="K141" s="69">
        <f t="shared" ref="K141:N145" si="49">K142</f>
        <v>64.3</v>
      </c>
      <c r="L141" s="69">
        <f t="shared" si="49"/>
        <v>0</v>
      </c>
      <c r="M141" s="69">
        <f t="shared" si="49"/>
        <v>64.3</v>
      </c>
      <c r="N141" s="69">
        <f t="shared" si="49"/>
        <v>64.3</v>
      </c>
    </row>
    <row r="142" spans="1:14" s="52" customFormat="1" ht="54" x14ac:dyDescent="0.35">
      <c r="A142" s="56"/>
      <c r="B142" s="610" t="s">
        <v>39</v>
      </c>
      <c r="C142" s="68" t="s">
        <v>1</v>
      </c>
      <c r="D142" s="55" t="s">
        <v>221</v>
      </c>
      <c r="E142" s="55" t="s">
        <v>63</v>
      </c>
      <c r="F142" s="799" t="s">
        <v>40</v>
      </c>
      <c r="G142" s="800" t="s">
        <v>41</v>
      </c>
      <c r="H142" s="800" t="s">
        <v>42</v>
      </c>
      <c r="I142" s="801" t="s">
        <v>43</v>
      </c>
      <c r="J142" s="55"/>
      <c r="K142" s="69">
        <f t="shared" si="49"/>
        <v>64.3</v>
      </c>
      <c r="L142" s="69">
        <f t="shared" si="49"/>
        <v>0</v>
      </c>
      <c r="M142" s="69">
        <f t="shared" si="49"/>
        <v>64.3</v>
      </c>
      <c r="N142" s="69">
        <f t="shared" si="49"/>
        <v>64.3</v>
      </c>
    </row>
    <row r="143" spans="1:14" s="52" customFormat="1" ht="36" x14ac:dyDescent="0.35">
      <c r="A143" s="56"/>
      <c r="B143" s="610" t="s">
        <v>359</v>
      </c>
      <c r="C143" s="68" t="s">
        <v>1</v>
      </c>
      <c r="D143" s="55" t="s">
        <v>221</v>
      </c>
      <c r="E143" s="55" t="s">
        <v>63</v>
      </c>
      <c r="F143" s="799" t="s">
        <v>40</v>
      </c>
      <c r="G143" s="800" t="s">
        <v>44</v>
      </c>
      <c r="H143" s="800" t="s">
        <v>42</v>
      </c>
      <c r="I143" s="801" t="s">
        <v>43</v>
      </c>
      <c r="J143" s="55"/>
      <c r="K143" s="69">
        <f t="shared" si="49"/>
        <v>64.3</v>
      </c>
      <c r="L143" s="69">
        <f t="shared" si="49"/>
        <v>0</v>
      </c>
      <c r="M143" s="69">
        <f t="shared" si="49"/>
        <v>64.3</v>
      </c>
      <c r="N143" s="69">
        <f t="shared" si="49"/>
        <v>64.3</v>
      </c>
    </row>
    <row r="144" spans="1:14" s="52" customFormat="1" ht="18" x14ac:dyDescent="0.35">
      <c r="A144" s="56"/>
      <c r="B144" s="610" t="s">
        <v>60</v>
      </c>
      <c r="C144" s="68" t="s">
        <v>1</v>
      </c>
      <c r="D144" s="55" t="s">
        <v>221</v>
      </c>
      <c r="E144" s="55" t="s">
        <v>63</v>
      </c>
      <c r="F144" s="799" t="s">
        <v>40</v>
      </c>
      <c r="G144" s="800" t="s">
        <v>44</v>
      </c>
      <c r="H144" s="800" t="s">
        <v>61</v>
      </c>
      <c r="I144" s="801" t="s">
        <v>43</v>
      </c>
      <c r="J144" s="55"/>
      <c r="K144" s="69">
        <f t="shared" si="49"/>
        <v>64.3</v>
      </c>
      <c r="L144" s="69">
        <f t="shared" si="49"/>
        <v>0</v>
      </c>
      <c r="M144" s="69">
        <f t="shared" si="49"/>
        <v>64.3</v>
      </c>
      <c r="N144" s="69">
        <f t="shared" si="49"/>
        <v>64.3</v>
      </c>
    </row>
    <row r="145" spans="1:14" s="52" customFormat="1" ht="36" x14ac:dyDescent="0.35">
      <c r="A145" s="56"/>
      <c r="B145" s="610" t="s">
        <v>544</v>
      </c>
      <c r="C145" s="68" t="s">
        <v>1</v>
      </c>
      <c r="D145" s="55" t="s">
        <v>221</v>
      </c>
      <c r="E145" s="55" t="s">
        <v>63</v>
      </c>
      <c r="F145" s="799" t="s">
        <v>40</v>
      </c>
      <c r="G145" s="800" t="s">
        <v>44</v>
      </c>
      <c r="H145" s="800" t="s">
        <v>61</v>
      </c>
      <c r="I145" s="801" t="s">
        <v>543</v>
      </c>
      <c r="J145" s="55"/>
      <c r="K145" s="69">
        <f t="shared" si="49"/>
        <v>64.3</v>
      </c>
      <c r="L145" s="69">
        <f t="shared" si="49"/>
        <v>0</v>
      </c>
      <c r="M145" s="69">
        <f t="shared" si="49"/>
        <v>64.3</v>
      </c>
      <c r="N145" s="69">
        <f t="shared" si="49"/>
        <v>64.3</v>
      </c>
    </row>
    <row r="146" spans="1:14" s="52" customFormat="1" ht="54" x14ac:dyDescent="0.35">
      <c r="A146" s="56"/>
      <c r="B146" s="610" t="s">
        <v>53</v>
      </c>
      <c r="C146" s="68" t="s">
        <v>1</v>
      </c>
      <c r="D146" s="55" t="s">
        <v>221</v>
      </c>
      <c r="E146" s="55" t="s">
        <v>63</v>
      </c>
      <c r="F146" s="799" t="s">
        <v>40</v>
      </c>
      <c r="G146" s="800" t="s">
        <v>44</v>
      </c>
      <c r="H146" s="800" t="s">
        <v>61</v>
      </c>
      <c r="I146" s="801" t="s">
        <v>543</v>
      </c>
      <c r="J146" s="55" t="s">
        <v>54</v>
      </c>
      <c r="K146" s="69">
        <v>64.3</v>
      </c>
      <c r="L146" s="69">
        <f>M146-K146</f>
        <v>0</v>
      </c>
      <c r="M146" s="69">
        <v>64.3</v>
      </c>
      <c r="N146" s="69">
        <v>64.3</v>
      </c>
    </row>
    <row r="147" spans="1:14" s="163" customFormat="1" ht="18" x14ac:dyDescent="0.35">
      <c r="A147" s="56"/>
      <c r="B147" s="610" t="s">
        <v>117</v>
      </c>
      <c r="C147" s="68" t="s">
        <v>1</v>
      </c>
      <c r="D147" s="55" t="s">
        <v>102</v>
      </c>
      <c r="E147" s="55"/>
      <c r="F147" s="799"/>
      <c r="G147" s="800"/>
      <c r="H147" s="800"/>
      <c r="I147" s="801"/>
      <c r="J147" s="55"/>
      <c r="K147" s="69">
        <f>K148+K154</f>
        <v>2767.9</v>
      </c>
      <c r="L147" s="69">
        <f t="shared" ref="L147" si="50">L148+L154</f>
        <v>0</v>
      </c>
      <c r="M147" s="69">
        <f>M148+M154</f>
        <v>2767.9</v>
      </c>
      <c r="N147" s="69">
        <f>N148+N154</f>
        <v>2767.9</v>
      </c>
    </row>
    <row r="148" spans="1:14" s="163" customFormat="1" ht="18" x14ac:dyDescent="0.35">
      <c r="A148" s="56"/>
      <c r="B148" s="610" t="s">
        <v>375</v>
      </c>
      <c r="C148" s="68" t="s">
        <v>1</v>
      </c>
      <c r="D148" s="55" t="s">
        <v>102</v>
      </c>
      <c r="E148" s="55" t="s">
        <v>36</v>
      </c>
      <c r="F148" s="799"/>
      <c r="G148" s="800"/>
      <c r="H148" s="800"/>
      <c r="I148" s="801"/>
      <c r="J148" s="55"/>
      <c r="K148" s="69">
        <f t="shared" ref="K148:N152" si="51">K149</f>
        <v>1500</v>
      </c>
      <c r="L148" s="69">
        <f t="shared" si="51"/>
        <v>0</v>
      </c>
      <c r="M148" s="69">
        <f t="shared" si="51"/>
        <v>1500</v>
      </c>
      <c r="N148" s="69">
        <f t="shared" si="51"/>
        <v>1500</v>
      </c>
    </row>
    <row r="149" spans="1:14" s="163" customFormat="1" ht="54" x14ac:dyDescent="0.35">
      <c r="A149" s="56"/>
      <c r="B149" s="660" t="s">
        <v>309</v>
      </c>
      <c r="C149" s="68" t="s">
        <v>1</v>
      </c>
      <c r="D149" s="55" t="s">
        <v>102</v>
      </c>
      <c r="E149" s="55" t="s">
        <v>36</v>
      </c>
      <c r="F149" s="799" t="s">
        <v>77</v>
      </c>
      <c r="G149" s="800" t="s">
        <v>41</v>
      </c>
      <c r="H149" s="800" t="s">
        <v>42</v>
      </c>
      <c r="I149" s="801" t="s">
        <v>43</v>
      </c>
      <c r="J149" s="55"/>
      <c r="K149" s="69">
        <f t="shared" si="51"/>
        <v>1500</v>
      </c>
      <c r="L149" s="69">
        <f t="shared" si="51"/>
        <v>0</v>
      </c>
      <c r="M149" s="69">
        <f t="shared" si="51"/>
        <v>1500</v>
      </c>
      <c r="N149" s="69">
        <f t="shared" si="51"/>
        <v>1500</v>
      </c>
    </row>
    <row r="150" spans="1:14" s="163" customFormat="1" ht="36" x14ac:dyDescent="0.35">
      <c r="A150" s="56"/>
      <c r="B150" s="610" t="s">
        <v>359</v>
      </c>
      <c r="C150" s="68" t="s">
        <v>1</v>
      </c>
      <c r="D150" s="55" t="s">
        <v>102</v>
      </c>
      <c r="E150" s="55" t="s">
        <v>36</v>
      </c>
      <c r="F150" s="799" t="s">
        <v>77</v>
      </c>
      <c r="G150" s="800" t="s">
        <v>44</v>
      </c>
      <c r="H150" s="800" t="s">
        <v>42</v>
      </c>
      <c r="I150" s="801" t="s">
        <v>43</v>
      </c>
      <c r="J150" s="55"/>
      <c r="K150" s="69">
        <f t="shared" si="51"/>
        <v>1500</v>
      </c>
      <c r="L150" s="69">
        <f t="shared" si="51"/>
        <v>0</v>
      </c>
      <c r="M150" s="69">
        <f t="shared" si="51"/>
        <v>1500</v>
      </c>
      <c r="N150" s="69">
        <f t="shared" si="51"/>
        <v>1500</v>
      </c>
    </row>
    <row r="151" spans="1:14" s="163" customFormat="1" ht="90" x14ac:dyDescent="0.35">
      <c r="A151" s="56"/>
      <c r="B151" s="642" t="s">
        <v>469</v>
      </c>
      <c r="C151" s="68" t="s">
        <v>1</v>
      </c>
      <c r="D151" s="55" t="s">
        <v>102</v>
      </c>
      <c r="E151" s="55" t="s">
        <v>36</v>
      </c>
      <c r="F151" s="799" t="s">
        <v>77</v>
      </c>
      <c r="G151" s="800" t="s">
        <v>44</v>
      </c>
      <c r="H151" s="800" t="s">
        <v>50</v>
      </c>
      <c r="I151" s="801" t="s">
        <v>43</v>
      </c>
      <c r="J151" s="55"/>
      <c r="K151" s="69">
        <f t="shared" si="51"/>
        <v>1500</v>
      </c>
      <c r="L151" s="69">
        <f t="shared" si="51"/>
        <v>0</v>
      </c>
      <c r="M151" s="69">
        <f t="shared" si="51"/>
        <v>1500</v>
      </c>
      <c r="N151" s="69">
        <f t="shared" si="51"/>
        <v>1500</v>
      </c>
    </row>
    <row r="152" spans="1:14" s="163" customFormat="1" ht="72" x14ac:dyDescent="0.35">
      <c r="A152" s="56"/>
      <c r="B152" s="642" t="s">
        <v>464</v>
      </c>
      <c r="C152" s="68" t="s">
        <v>1</v>
      </c>
      <c r="D152" s="55" t="s">
        <v>102</v>
      </c>
      <c r="E152" s="55" t="s">
        <v>36</v>
      </c>
      <c r="F152" s="799" t="s">
        <v>77</v>
      </c>
      <c r="G152" s="800" t="s">
        <v>44</v>
      </c>
      <c r="H152" s="800" t="s">
        <v>50</v>
      </c>
      <c r="I152" s="801" t="s">
        <v>376</v>
      </c>
      <c r="J152" s="55"/>
      <c r="K152" s="69">
        <f t="shared" si="51"/>
        <v>1500</v>
      </c>
      <c r="L152" s="69">
        <f t="shared" si="51"/>
        <v>0</v>
      </c>
      <c r="M152" s="69">
        <f t="shared" si="51"/>
        <v>1500</v>
      </c>
      <c r="N152" s="69">
        <f t="shared" si="51"/>
        <v>1500</v>
      </c>
    </row>
    <row r="153" spans="1:14" s="163" customFormat="1" ht="36" x14ac:dyDescent="0.35">
      <c r="A153" s="56"/>
      <c r="B153" s="617" t="s">
        <v>118</v>
      </c>
      <c r="C153" s="68" t="s">
        <v>1</v>
      </c>
      <c r="D153" s="55" t="s">
        <v>102</v>
      </c>
      <c r="E153" s="55" t="s">
        <v>36</v>
      </c>
      <c r="F153" s="799" t="s">
        <v>77</v>
      </c>
      <c r="G153" s="800" t="s">
        <v>44</v>
      </c>
      <c r="H153" s="800" t="s">
        <v>50</v>
      </c>
      <c r="I153" s="801" t="s">
        <v>376</v>
      </c>
      <c r="J153" s="55" t="s">
        <v>119</v>
      </c>
      <c r="K153" s="69">
        <v>1500</v>
      </c>
      <c r="L153" s="69">
        <f>M153-K153</f>
        <v>0</v>
      </c>
      <c r="M153" s="69">
        <v>1500</v>
      </c>
      <c r="N153" s="69">
        <v>1500</v>
      </c>
    </row>
    <row r="154" spans="1:14" s="163" customFormat="1" ht="36" x14ac:dyDescent="0.35">
      <c r="A154" s="56"/>
      <c r="B154" s="610" t="s">
        <v>120</v>
      </c>
      <c r="C154" s="68" t="s">
        <v>1</v>
      </c>
      <c r="D154" s="55" t="s">
        <v>102</v>
      </c>
      <c r="E154" s="55" t="s">
        <v>79</v>
      </c>
      <c r="F154" s="799"/>
      <c r="G154" s="800"/>
      <c r="H154" s="800"/>
      <c r="I154" s="801"/>
      <c r="J154" s="55"/>
      <c r="K154" s="69">
        <f t="shared" ref="K154:M158" si="52">K155</f>
        <v>1267.9000000000001</v>
      </c>
      <c r="L154" s="69">
        <f t="shared" si="52"/>
        <v>0</v>
      </c>
      <c r="M154" s="69">
        <f t="shared" si="52"/>
        <v>1267.9000000000001</v>
      </c>
      <c r="N154" s="69">
        <f>N155</f>
        <v>1267.9000000000001</v>
      </c>
    </row>
    <row r="155" spans="1:14" s="163" customFormat="1" ht="72" x14ac:dyDescent="0.35">
      <c r="A155" s="56"/>
      <c r="B155" s="610" t="s">
        <v>70</v>
      </c>
      <c r="C155" s="68" t="s">
        <v>1</v>
      </c>
      <c r="D155" s="55" t="s">
        <v>102</v>
      </c>
      <c r="E155" s="55" t="s">
        <v>79</v>
      </c>
      <c r="F155" s="799" t="s">
        <v>71</v>
      </c>
      <c r="G155" s="800" t="s">
        <v>41</v>
      </c>
      <c r="H155" s="800" t="s">
        <v>42</v>
      </c>
      <c r="I155" s="801" t="s">
        <v>43</v>
      </c>
      <c r="J155" s="55"/>
      <c r="K155" s="69">
        <f t="shared" si="52"/>
        <v>1267.9000000000001</v>
      </c>
      <c r="L155" s="69">
        <f t="shared" si="52"/>
        <v>0</v>
      </c>
      <c r="M155" s="69">
        <f t="shared" si="52"/>
        <v>1267.9000000000001</v>
      </c>
      <c r="N155" s="69">
        <f>N156</f>
        <v>1267.9000000000001</v>
      </c>
    </row>
    <row r="156" spans="1:14" s="163" customFormat="1" ht="36" x14ac:dyDescent="0.35">
      <c r="A156" s="56"/>
      <c r="B156" s="610" t="s">
        <v>359</v>
      </c>
      <c r="C156" s="68" t="s">
        <v>1</v>
      </c>
      <c r="D156" s="55" t="s">
        <v>102</v>
      </c>
      <c r="E156" s="55" t="s">
        <v>79</v>
      </c>
      <c r="F156" s="799" t="s">
        <v>71</v>
      </c>
      <c r="G156" s="800" t="s">
        <v>44</v>
      </c>
      <c r="H156" s="800" t="s">
        <v>42</v>
      </c>
      <c r="I156" s="801" t="s">
        <v>43</v>
      </c>
      <c r="J156" s="55"/>
      <c r="K156" s="69">
        <f t="shared" si="52"/>
        <v>1267.9000000000001</v>
      </c>
      <c r="L156" s="69">
        <f t="shared" si="52"/>
        <v>0</v>
      </c>
      <c r="M156" s="69">
        <f t="shared" si="52"/>
        <v>1267.9000000000001</v>
      </c>
      <c r="N156" s="69">
        <f>N157</f>
        <v>1267.9000000000001</v>
      </c>
    </row>
    <row r="157" spans="1:14" s="163" customFormat="1" ht="54" x14ac:dyDescent="0.35">
      <c r="A157" s="56"/>
      <c r="B157" s="642" t="s">
        <v>280</v>
      </c>
      <c r="C157" s="68" t="s">
        <v>1</v>
      </c>
      <c r="D157" s="55" t="s">
        <v>102</v>
      </c>
      <c r="E157" s="55" t="s">
        <v>79</v>
      </c>
      <c r="F157" s="799" t="s">
        <v>71</v>
      </c>
      <c r="G157" s="800" t="s">
        <v>44</v>
      </c>
      <c r="H157" s="800" t="s">
        <v>36</v>
      </c>
      <c r="I157" s="801" t="s">
        <v>43</v>
      </c>
      <c r="J157" s="55"/>
      <c r="K157" s="69">
        <f t="shared" si="52"/>
        <v>1267.9000000000001</v>
      </c>
      <c r="L157" s="69">
        <f t="shared" si="52"/>
        <v>0</v>
      </c>
      <c r="M157" s="69">
        <f t="shared" si="52"/>
        <v>1267.9000000000001</v>
      </c>
      <c r="N157" s="69">
        <f>N158</f>
        <v>1267.9000000000001</v>
      </c>
    </row>
    <row r="158" spans="1:14" s="163" customFormat="1" ht="54" x14ac:dyDescent="0.35">
      <c r="A158" s="56"/>
      <c r="B158" s="642" t="s">
        <v>72</v>
      </c>
      <c r="C158" s="68" t="s">
        <v>1</v>
      </c>
      <c r="D158" s="55" t="s">
        <v>102</v>
      </c>
      <c r="E158" s="55" t="s">
        <v>79</v>
      </c>
      <c r="F158" s="799" t="s">
        <v>71</v>
      </c>
      <c r="G158" s="800" t="s">
        <v>44</v>
      </c>
      <c r="H158" s="800" t="s">
        <v>36</v>
      </c>
      <c r="I158" s="801" t="s">
        <v>73</v>
      </c>
      <c r="J158" s="55"/>
      <c r="K158" s="69">
        <f>K159</f>
        <v>1267.9000000000001</v>
      </c>
      <c r="L158" s="69">
        <f t="shared" si="52"/>
        <v>0</v>
      </c>
      <c r="M158" s="69">
        <f>M159</f>
        <v>1267.9000000000001</v>
      </c>
      <c r="N158" s="69">
        <f>N159</f>
        <v>1267.9000000000001</v>
      </c>
    </row>
    <row r="159" spans="1:14" s="163" customFormat="1" ht="54" x14ac:dyDescent="0.35">
      <c r="A159" s="56"/>
      <c r="B159" s="617" t="s">
        <v>74</v>
      </c>
      <c r="C159" s="68" t="s">
        <v>1</v>
      </c>
      <c r="D159" s="55" t="s">
        <v>102</v>
      </c>
      <c r="E159" s="55" t="s">
        <v>79</v>
      </c>
      <c r="F159" s="799" t="s">
        <v>71</v>
      </c>
      <c r="G159" s="800" t="s">
        <v>44</v>
      </c>
      <c r="H159" s="800" t="s">
        <v>36</v>
      </c>
      <c r="I159" s="801" t="s">
        <v>73</v>
      </c>
      <c r="J159" s="55" t="s">
        <v>75</v>
      </c>
      <c r="K159" s="69">
        <v>1267.9000000000001</v>
      </c>
      <c r="L159" s="69">
        <f>M159-K159</f>
        <v>0</v>
      </c>
      <c r="M159" s="69">
        <v>1267.9000000000001</v>
      </c>
      <c r="N159" s="69">
        <v>1267.9000000000001</v>
      </c>
    </row>
    <row r="160" spans="1:14" s="163" customFormat="1" ht="18" x14ac:dyDescent="0.35">
      <c r="A160" s="56"/>
      <c r="B160" s="617"/>
      <c r="C160" s="68"/>
      <c r="D160" s="55"/>
      <c r="E160" s="55"/>
      <c r="F160" s="799"/>
      <c r="G160" s="800"/>
      <c r="H160" s="800"/>
      <c r="I160" s="801"/>
      <c r="J160" s="55"/>
      <c r="K160" s="69"/>
      <c r="L160" s="69"/>
      <c r="M160" s="69"/>
      <c r="N160" s="69"/>
    </row>
    <row r="161" spans="1:14" ht="52.2" x14ac:dyDescent="0.3">
      <c r="A161" s="162">
        <v>2</v>
      </c>
      <c r="B161" s="656" t="s">
        <v>2</v>
      </c>
      <c r="C161" s="63" t="s">
        <v>316</v>
      </c>
      <c r="D161" s="64"/>
      <c r="E161" s="64"/>
      <c r="F161" s="65"/>
      <c r="G161" s="66"/>
      <c r="H161" s="66"/>
      <c r="I161" s="67"/>
      <c r="J161" s="64"/>
      <c r="K161" s="77">
        <f>K162+K187+K180</f>
        <v>45787.5</v>
      </c>
      <c r="L161" s="77">
        <f t="shared" ref="L161" si="53">L162+L187+L180</f>
        <v>0</v>
      </c>
      <c r="M161" s="77">
        <f>M162+M187+M180</f>
        <v>45787.5</v>
      </c>
      <c r="N161" s="77">
        <f>N162+N187+N180</f>
        <v>45788.3</v>
      </c>
    </row>
    <row r="162" spans="1:14" s="167" customFormat="1" ht="18" x14ac:dyDescent="0.35">
      <c r="A162" s="56"/>
      <c r="B162" s="610" t="s">
        <v>35</v>
      </c>
      <c r="C162" s="68" t="s">
        <v>316</v>
      </c>
      <c r="D162" s="55" t="s">
        <v>36</v>
      </c>
      <c r="E162" s="55"/>
      <c r="F162" s="799"/>
      <c r="G162" s="800"/>
      <c r="H162" s="800"/>
      <c r="I162" s="801"/>
      <c r="J162" s="55"/>
      <c r="K162" s="69">
        <f>K163+K171</f>
        <v>36671.9</v>
      </c>
      <c r="L162" s="69">
        <f t="shared" ref="L162" si="54">L163+L171</f>
        <v>0</v>
      </c>
      <c r="M162" s="69">
        <f>M163+M171</f>
        <v>36671.9</v>
      </c>
      <c r="N162" s="69">
        <f>N163+N171</f>
        <v>36672.700000000004</v>
      </c>
    </row>
    <row r="163" spans="1:14" s="168" customFormat="1" ht="72" x14ac:dyDescent="0.35">
      <c r="A163" s="56"/>
      <c r="B163" s="610" t="s">
        <v>128</v>
      </c>
      <c r="C163" s="68" t="s">
        <v>316</v>
      </c>
      <c r="D163" s="55" t="s">
        <v>36</v>
      </c>
      <c r="E163" s="55" t="s">
        <v>79</v>
      </c>
      <c r="F163" s="799"/>
      <c r="G163" s="800"/>
      <c r="H163" s="800"/>
      <c r="I163" s="801"/>
      <c r="J163" s="55"/>
      <c r="K163" s="69">
        <f t="shared" ref="K163:N166" si="55">K164</f>
        <v>33563.5</v>
      </c>
      <c r="L163" s="69">
        <f t="shared" si="55"/>
        <v>0</v>
      </c>
      <c r="M163" s="69">
        <f t="shared" si="55"/>
        <v>33563.5</v>
      </c>
      <c r="N163" s="69">
        <f t="shared" si="55"/>
        <v>33564.300000000003</v>
      </c>
    </row>
    <row r="164" spans="1:14" s="163" customFormat="1" ht="54" x14ac:dyDescent="0.35">
      <c r="A164" s="56"/>
      <c r="B164" s="610" t="s">
        <v>220</v>
      </c>
      <c r="C164" s="68" t="s">
        <v>316</v>
      </c>
      <c r="D164" s="55" t="s">
        <v>36</v>
      </c>
      <c r="E164" s="55" t="s">
        <v>79</v>
      </c>
      <c r="F164" s="799" t="s">
        <v>221</v>
      </c>
      <c r="G164" s="800" t="s">
        <v>41</v>
      </c>
      <c r="H164" s="800" t="s">
        <v>42</v>
      </c>
      <c r="I164" s="801" t="s">
        <v>43</v>
      </c>
      <c r="J164" s="55"/>
      <c r="K164" s="69">
        <f t="shared" si="55"/>
        <v>33563.5</v>
      </c>
      <c r="L164" s="69">
        <f t="shared" si="55"/>
        <v>0</v>
      </c>
      <c r="M164" s="69">
        <f t="shared" si="55"/>
        <v>33563.5</v>
      </c>
      <c r="N164" s="69">
        <f t="shared" si="55"/>
        <v>33564.300000000003</v>
      </c>
    </row>
    <row r="165" spans="1:14" s="163" customFormat="1" ht="36" x14ac:dyDescent="0.35">
      <c r="A165" s="56"/>
      <c r="B165" s="610" t="s">
        <v>359</v>
      </c>
      <c r="C165" s="68" t="s">
        <v>316</v>
      </c>
      <c r="D165" s="55" t="s">
        <v>36</v>
      </c>
      <c r="E165" s="55" t="s">
        <v>79</v>
      </c>
      <c r="F165" s="70" t="s">
        <v>221</v>
      </c>
      <c r="G165" s="71" t="s">
        <v>44</v>
      </c>
      <c r="H165" s="800" t="s">
        <v>42</v>
      </c>
      <c r="I165" s="801" t="s">
        <v>43</v>
      </c>
      <c r="J165" s="55"/>
      <c r="K165" s="69">
        <f>K166</f>
        <v>33563.5</v>
      </c>
      <c r="L165" s="69">
        <f t="shared" si="55"/>
        <v>0</v>
      </c>
      <c r="M165" s="69">
        <f>M166</f>
        <v>33563.5</v>
      </c>
      <c r="N165" s="69">
        <f>N166</f>
        <v>33564.300000000003</v>
      </c>
    </row>
    <row r="166" spans="1:14" s="163" customFormat="1" ht="54" x14ac:dyDescent="0.35">
      <c r="A166" s="56"/>
      <c r="B166" s="610" t="s">
        <v>317</v>
      </c>
      <c r="C166" s="68" t="s">
        <v>316</v>
      </c>
      <c r="D166" s="55" t="s">
        <v>36</v>
      </c>
      <c r="E166" s="55" t="s">
        <v>79</v>
      </c>
      <c r="F166" s="70" t="s">
        <v>221</v>
      </c>
      <c r="G166" s="71" t="s">
        <v>44</v>
      </c>
      <c r="H166" s="800" t="s">
        <v>36</v>
      </c>
      <c r="I166" s="801" t="s">
        <v>43</v>
      </c>
      <c r="J166" s="55"/>
      <c r="K166" s="69">
        <f t="shared" si="55"/>
        <v>33563.5</v>
      </c>
      <c r="L166" s="69">
        <f t="shared" si="55"/>
        <v>0</v>
      </c>
      <c r="M166" s="69">
        <f t="shared" si="55"/>
        <v>33563.5</v>
      </c>
      <c r="N166" s="69">
        <f t="shared" si="55"/>
        <v>33564.300000000003</v>
      </c>
    </row>
    <row r="167" spans="1:14" s="163" customFormat="1" ht="36" x14ac:dyDescent="0.35">
      <c r="A167" s="56"/>
      <c r="B167" s="610" t="s">
        <v>46</v>
      </c>
      <c r="C167" s="68" t="s">
        <v>316</v>
      </c>
      <c r="D167" s="55" t="s">
        <v>36</v>
      </c>
      <c r="E167" s="55" t="s">
        <v>79</v>
      </c>
      <c r="F167" s="70" t="s">
        <v>221</v>
      </c>
      <c r="G167" s="71" t="s">
        <v>44</v>
      </c>
      <c r="H167" s="800" t="s">
        <v>36</v>
      </c>
      <c r="I167" s="801" t="s">
        <v>47</v>
      </c>
      <c r="J167" s="55"/>
      <c r="K167" s="69">
        <f>SUM(K168:K170)</f>
        <v>33563.5</v>
      </c>
      <c r="L167" s="69">
        <f t="shared" ref="L167" si="56">SUM(L168:L170)</f>
        <v>0</v>
      </c>
      <c r="M167" s="69">
        <f>SUM(M168:M170)</f>
        <v>33563.5</v>
      </c>
      <c r="N167" s="69">
        <f>SUM(N168:N170)</f>
        <v>33564.300000000003</v>
      </c>
    </row>
    <row r="168" spans="1:14" s="163" customFormat="1" ht="108" x14ac:dyDescent="0.35">
      <c r="A168" s="56"/>
      <c r="B168" s="610" t="s">
        <v>48</v>
      </c>
      <c r="C168" s="68" t="s">
        <v>316</v>
      </c>
      <c r="D168" s="55" t="s">
        <v>36</v>
      </c>
      <c r="E168" s="55" t="s">
        <v>79</v>
      </c>
      <c r="F168" s="70" t="s">
        <v>221</v>
      </c>
      <c r="G168" s="71" t="s">
        <v>44</v>
      </c>
      <c r="H168" s="800" t="s">
        <v>36</v>
      </c>
      <c r="I168" s="801" t="s">
        <v>47</v>
      </c>
      <c r="J168" s="55" t="s">
        <v>49</v>
      </c>
      <c r="K168" s="69">
        <f>32677.9+44.8</f>
        <v>32722.7</v>
      </c>
      <c r="L168" s="69">
        <f>M168-K168</f>
        <v>0</v>
      </c>
      <c r="M168" s="69">
        <f>32677.9+44.8</f>
        <v>32722.7</v>
      </c>
      <c r="N168" s="69">
        <f>32677.9+44.8</f>
        <v>32722.7</v>
      </c>
    </row>
    <row r="169" spans="1:14" s="163" customFormat="1" ht="54" x14ac:dyDescent="0.35">
      <c r="A169" s="56"/>
      <c r="B169" s="610" t="s">
        <v>53</v>
      </c>
      <c r="C169" s="68" t="s">
        <v>316</v>
      </c>
      <c r="D169" s="55" t="s">
        <v>36</v>
      </c>
      <c r="E169" s="55" t="s">
        <v>79</v>
      </c>
      <c r="F169" s="70" t="s">
        <v>221</v>
      </c>
      <c r="G169" s="71" t="s">
        <v>44</v>
      </c>
      <c r="H169" s="800" t="s">
        <v>36</v>
      </c>
      <c r="I169" s="801" t="s">
        <v>47</v>
      </c>
      <c r="J169" s="55" t="s">
        <v>54</v>
      </c>
      <c r="K169" s="69">
        <v>836.3</v>
      </c>
      <c r="L169" s="69">
        <f>M169-K169</f>
        <v>0</v>
      </c>
      <c r="M169" s="69">
        <v>836.3</v>
      </c>
      <c r="N169" s="69">
        <v>837.2</v>
      </c>
    </row>
    <row r="170" spans="1:14" s="168" customFormat="1" ht="18" x14ac:dyDescent="0.35">
      <c r="A170" s="56"/>
      <c r="B170" s="610" t="s">
        <v>55</v>
      </c>
      <c r="C170" s="68" t="s">
        <v>316</v>
      </c>
      <c r="D170" s="55" t="s">
        <v>36</v>
      </c>
      <c r="E170" s="55" t="s">
        <v>79</v>
      </c>
      <c r="F170" s="70" t="s">
        <v>221</v>
      </c>
      <c r="G170" s="71" t="s">
        <v>44</v>
      </c>
      <c r="H170" s="800" t="s">
        <v>36</v>
      </c>
      <c r="I170" s="801" t="s">
        <v>47</v>
      </c>
      <c r="J170" s="55" t="s">
        <v>56</v>
      </c>
      <c r="K170" s="69">
        <v>4.5</v>
      </c>
      <c r="L170" s="69">
        <f>M170-K170</f>
        <v>0</v>
      </c>
      <c r="M170" s="69">
        <v>4.5</v>
      </c>
      <c r="N170" s="69">
        <v>4.4000000000000004</v>
      </c>
    </row>
    <row r="171" spans="1:14" s="168" customFormat="1" ht="18" x14ac:dyDescent="0.35">
      <c r="A171" s="56"/>
      <c r="B171" s="610" t="s">
        <v>68</v>
      </c>
      <c r="C171" s="68" t="s">
        <v>316</v>
      </c>
      <c r="D171" s="55" t="s">
        <v>36</v>
      </c>
      <c r="E171" s="55" t="s">
        <v>69</v>
      </c>
      <c r="F171" s="70"/>
      <c r="G171" s="71"/>
      <c r="H171" s="800"/>
      <c r="I171" s="801"/>
      <c r="J171" s="55"/>
      <c r="K171" s="69">
        <f t="shared" ref="K171:N172" si="57">K172</f>
        <v>3108.4</v>
      </c>
      <c r="L171" s="69">
        <f t="shared" si="57"/>
        <v>0</v>
      </c>
      <c r="M171" s="69">
        <f t="shared" si="57"/>
        <v>3108.4</v>
      </c>
      <c r="N171" s="69">
        <f t="shared" si="57"/>
        <v>3108.4</v>
      </c>
    </row>
    <row r="172" spans="1:14" s="168" customFormat="1" ht="54" x14ac:dyDescent="0.35">
      <c r="A172" s="56"/>
      <c r="B172" s="610" t="s">
        <v>220</v>
      </c>
      <c r="C172" s="68" t="s">
        <v>316</v>
      </c>
      <c r="D172" s="55" t="s">
        <v>36</v>
      </c>
      <c r="E172" s="55" t="s">
        <v>69</v>
      </c>
      <c r="F172" s="70" t="s">
        <v>221</v>
      </c>
      <c r="G172" s="71" t="s">
        <v>41</v>
      </c>
      <c r="H172" s="800" t="s">
        <v>42</v>
      </c>
      <c r="I172" s="801" t="s">
        <v>43</v>
      </c>
      <c r="J172" s="55"/>
      <c r="K172" s="69">
        <f t="shared" si="57"/>
        <v>3108.4</v>
      </c>
      <c r="L172" s="69">
        <f t="shared" si="57"/>
        <v>0</v>
      </c>
      <c r="M172" s="69">
        <f t="shared" si="57"/>
        <v>3108.4</v>
      </c>
      <c r="N172" s="69">
        <f t="shared" si="57"/>
        <v>3108.4</v>
      </c>
    </row>
    <row r="173" spans="1:14" s="168" customFormat="1" ht="36" x14ac:dyDescent="0.35">
      <c r="A173" s="56"/>
      <c r="B173" s="610" t="s">
        <v>359</v>
      </c>
      <c r="C173" s="68" t="s">
        <v>316</v>
      </c>
      <c r="D173" s="55" t="s">
        <v>36</v>
      </c>
      <c r="E173" s="55" t="s">
        <v>69</v>
      </c>
      <c r="F173" s="70" t="s">
        <v>221</v>
      </c>
      <c r="G173" s="71" t="s">
        <v>44</v>
      </c>
      <c r="H173" s="800" t="s">
        <v>42</v>
      </c>
      <c r="I173" s="801" t="s">
        <v>43</v>
      </c>
      <c r="J173" s="55"/>
      <c r="K173" s="69">
        <f>K174+K177</f>
        <v>3108.4</v>
      </c>
      <c r="L173" s="69">
        <f t="shared" ref="L173" si="58">L174+L177</f>
        <v>0</v>
      </c>
      <c r="M173" s="69">
        <f>M174+M177</f>
        <v>3108.4</v>
      </c>
      <c r="N173" s="69">
        <f>N174+N177</f>
        <v>3108.4</v>
      </c>
    </row>
    <row r="174" spans="1:14" s="168" customFormat="1" ht="36" x14ac:dyDescent="0.35">
      <c r="A174" s="56"/>
      <c r="B174" s="610" t="s">
        <v>371</v>
      </c>
      <c r="C174" s="68" t="s">
        <v>316</v>
      </c>
      <c r="D174" s="55" t="s">
        <v>36</v>
      </c>
      <c r="E174" s="55" t="s">
        <v>69</v>
      </c>
      <c r="F174" s="70" t="s">
        <v>221</v>
      </c>
      <c r="G174" s="71" t="s">
        <v>44</v>
      </c>
      <c r="H174" s="800" t="s">
        <v>61</v>
      </c>
      <c r="I174" s="801" t="s">
        <v>43</v>
      </c>
      <c r="J174" s="55"/>
      <c r="K174" s="69">
        <f t="shared" ref="K174:N175" si="59">K175</f>
        <v>3090.8</v>
      </c>
      <c r="L174" s="69">
        <f t="shared" si="59"/>
        <v>0</v>
      </c>
      <c r="M174" s="69">
        <f t="shared" si="59"/>
        <v>3090.8</v>
      </c>
      <c r="N174" s="69">
        <f t="shared" si="59"/>
        <v>3090.8</v>
      </c>
    </row>
    <row r="175" spans="1:14" s="168" customFormat="1" ht="54" x14ac:dyDescent="0.35">
      <c r="A175" s="56"/>
      <c r="B175" s="610" t="s">
        <v>372</v>
      </c>
      <c r="C175" s="68" t="s">
        <v>316</v>
      </c>
      <c r="D175" s="55" t="s">
        <v>36</v>
      </c>
      <c r="E175" s="55" t="s">
        <v>69</v>
      </c>
      <c r="F175" s="70" t="s">
        <v>221</v>
      </c>
      <c r="G175" s="71" t="s">
        <v>44</v>
      </c>
      <c r="H175" s="800" t="s">
        <v>61</v>
      </c>
      <c r="I175" s="801" t="s">
        <v>103</v>
      </c>
      <c r="J175" s="55"/>
      <c r="K175" s="69">
        <f t="shared" si="59"/>
        <v>3090.8</v>
      </c>
      <c r="L175" s="69">
        <f t="shared" si="59"/>
        <v>0</v>
      </c>
      <c r="M175" s="69">
        <f t="shared" si="59"/>
        <v>3090.8</v>
      </c>
      <c r="N175" s="69">
        <f t="shared" si="59"/>
        <v>3090.8</v>
      </c>
    </row>
    <row r="176" spans="1:14" s="168" customFormat="1" ht="54" x14ac:dyDescent="0.35">
      <c r="A176" s="56"/>
      <c r="B176" s="610" t="s">
        <v>53</v>
      </c>
      <c r="C176" s="68" t="s">
        <v>316</v>
      </c>
      <c r="D176" s="55" t="s">
        <v>36</v>
      </c>
      <c r="E176" s="55" t="s">
        <v>69</v>
      </c>
      <c r="F176" s="70" t="s">
        <v>221</v>
      </c>
      <c r="G176" s="71" t="s">
        <v>44</v>
      </c>
      <c r="H176" s="800" t="s">
        <v>61</v>
      </c>
      <c r="I176" s="801" t="s">
        <v>103</v>
      </c>
      <c r="J176" s="55" t="s">
        <v>54</v>
      </c>
      <c r="K176" s="69">
        <v>3090.8</v>
      </c>
      <c r="L176" s="69">
        <f>M176-K176</f>
        <v>0</v>
      </c>
      <c r="M176" s="69">
        <v>3090.8</v>
      </c>
      <c r="N176" s="69">
        <v>3090.8</v>
      </c>
    </row>
    <row r="177" spans="1:14" s="168" customFormat="1" ht="36" x14ac:dyDescent="0.35">
      <c r="A177" s="56"/>
      <c r="B177" s="610" t="s">
        <v>488</v>
      </c>
      <c r="C177" s="68" t="s">
        <v>316</v>
      </c>
      <c r="D177" s="55" t="s">
        <v>36</v>
      </c>
      <c r="E177" s="55" t="s">
        <v>69</v>
      </c>
      <c r="F177" s="70" t="s">
        <v>221</v>
      </c>
      <c r="G177" s="71" t="s">
        <v>44</v>
      </c>
      <c r="H177" s="800" t="s">
        <v>63</v>
      </c>
      <c r="I177" s="801" t="s">
        <v>43</v>
      </c>
      <c r="J177" s="55"/>
      <c r="K177" s="69">
        <f t="shared" ref="K177:N178" si="60">K178</f>
        <v>17.600000000000001</v>
      </c>
      <c r="L177" s="69">
        <f t="shared" si="60"/>
        <v>0</v>
      </c>
      <c r="M177" s="69">
        <f t="shared" si="60"/>
        <v>17.600000000000001</v>
      </c>
      <c r="N177" s="69">
        <f t="shared" si="60"/>
        <v>17.600000000000001</v>
      </c>
    </row>
    <row r="178" spans="1:14" s="168" customFormat="1" ht="18" x14ac:dyDescent="0.35">
      <c r="A178" s="56"/>
      <c r="B178" s="610" t="s">
        <v>486</v>
      </c>
      <c r="C178" s="68" t="s">
        <v>316</v>
      </c>
      <c r="D178" s="55" t="s">
        <v>36</v>
      </c>
      <c r="E178" s="55" t="s">
        <v>69</v>
      </c>
      <c r="F178" s="70" t="s">
        <v>221</v>
      </c>
      <c r="G178" s="71" t="s">
        <v>44</v>
      </c>
      <c r="H178" s="800" t="s">
        <v>63</v>
      </c>
      <c r="I178" s="801" t="s">
        <v>487</v>
      </c>
      <c r="J178" s="55"/>
      <c r="K178" s="69">
        <f t="shared" si="60"/>
        <v>17.600000000000001</v>
      </c>
      <c r="L178" s="69">
        <f t="shared" si="60"/>
        <v>0</v>
      </c>
      <c r="M178" s="69">
        <f t="shared" si="60"/>
        <v>17.600000000000001</v>
      </c>
      <c r="N178" s="69">
        <f t="shared" si="60"/>
        <v>17.600000000000001</v>
      </c>
    </row>
    <row r="179" spans="1:14" s="168" customFormat="1" ht="54" x14ac:dyDescent="0.35">
      <c r="A179" s="56"/>
      <c r="B179" s="610" t="s">
        <v>53</v>
      </c>
      <c r="C179" s="68" t="s">
        <v>316</v>
      </c>
      <c r="D179" s="55" t="s">
        <v>36</v>
      </c>
      <c r="E179" s="55" t="s">
        <v>69</v>
      </c>
      <c r="F179" s="70" t="s">
        <v>221</v>
      </c>
      <c r="G179" s="71" t="s">
        <v>44</v>
      </c>
      <c r="H179" s="800" t="s">
        <v>63</v>
      </c>
      <c r="I179" s="801" t="s">
        <v>487</v>
      </c>
      <c r="J179" s="55" t="s">
        <v>54</v>
      </c>
      <c r="K179" s="69">
        <v>17.600000000000001</v>
      </c>
      <c r="L179" s="69">
        <f>M179-K179</f>
        <v>0</v>
      </c>
      <c r="M179" s="69">
        <v>17.600000000000001</v>
      </c>
      <c r="N179" s="69">
        <v>17.600000000000001</v>
      </c>
    </row>
    <row r="180" spans="1:14" s="168" customFormat="1" ht="18" x14ac:dyDescent="0.35">
      <c r="A180" s="56"/>
      <c r="B180" s="610" t="s">
        <v>177</v>
      </c>
      <c r="C180" s="68" t="s">
        <v>316</v>
      </c>
      <c r="D180" s="55" t="s">
        <v>221</v>
      </c>
      <c r="E180" s="55"/>
      <c r="F180" s="70"/>
      <c r="G180" s="71"/>
      <c r="H180" s="800"/>
      <c r="I180" s="801"/>
      <c r="J180" s="55"/>
      <c r="K180" s="69">
        <f t="shared" ref="K180:N185" si="61">K181</f>
        <v>115.6</v>
      </c>
      <c r="L180" s="69">
        <f t="shared" si="61"/>
        <v>0</v>
      </c>
      <c r="M180" s="69">
        <f t="shared" si="61"/>
        <v>115.6</v>
      </c>
      <c r="N180" s="69">
        <f t="shared" si="61"/>
        <v>115.6</v>
      </c>
    </row>
    <row r="181" spans="1:14" s="168" customFormat="1" ht="36" x14ac:dyDescent="0.35">
      <c r="A181" s="56"/>
      <c r="B181" s="610" t="s">
        <v>542</v>
      </c>
      <c r="C181" s="68" t="s">
        <v>316</v>
      </c>
      <c r="D181" s="55" t="s">
        <v>221</v>
      </c>
      <c r="E181" s="55" t="s">
        <v>63</v>
      </c>
      <c r="F181" s="70"/>
      <c r="G181" s="71"/>
      <c r="H181" s="800"/>
      <c r="I181" s="801"/>
      <c r="J181" s="55"/>
      <c r="K181" s="69">
        <f t="shared" si="61"/>
        <v>115.6</v>
      </c>
      <c r="L181" s="69">
        <f t="shared" si="61"/>
        <v>0</v>
      </c>
      <c r="M181" s="69">
        <f t="shared" si="61"/>
        <v>115.6</v>
      </c>
      <c r="N181" s="69">
        <f t="shared" si="61"/>
        <v>115.6</v>
      </c>
    </row>
    <row r="182" spans="1:14" s="168" customFormat="1" ht="54" x14ac:dyDescent="0.35">
      <c r="A182" s="56"/>
      <c r="B182" s="610" t="s">
        <v>220</v>
      </c>
      <c r="C182" s="68" t="s">
        <v>316</v>
      </c>
      <c r="D182" s="55" t="s">
        <v>221</v>
      </c>
      <c r="E182" s="55" t="s">
        <v>63</v>
      </c>
      <c r="F182" s="70" t="s">
        <v>221</v>
      </c>
      <c r="G182" s="71" t="s">
        <v>41</v>
      </c>
      <c r="H182" s="800" t="s">
        <v>42</v>
      </c>
      <c r="I182" s="801" t="s">
        <v>43</v>
      </c>
      <c r="J182" s="55"/>
      <c r="K182" s="69">
        <f t="shared" si="61"/>
        <v>115.6</v>
      </c>
      <c r="L182" s="69">
        <f t="shared" si="61"/>
        <v>0</v>
      </c>
      <c r="M182" s="69">
        <f t="shared" si="61"/>
        <v>115.6</v>
      </c>
      <c r="N182" s="69">
        <f t="shared" si="61"/>
        <v>115.6</v>
      </c>
    </row>
    <row r="183" spans="1:14" s="168" customFormat="1" ht="36" x14ac:dyDescent="0.35">
      <c r="A183" s="56"/>
      <c r="B183" s="610" t="s">
        <v>359</v>
      </c>
      <c r="C183" s="68" t="s">
        <v>316</v>
      </c>
      <c r="D183" s="55" t="s">
        <v>221</v>
      </c>
      <c r="E183" s="55" t="s">
        <v>63</v>
      </c>
      <c r="F183" s="70" t="s">
        <v>221</v>
      </c>
      <c r="G183" s="71" t="s">
        <v>44</v>
      </c>
      <c r="H183" s="800" t="s">
        <v>42</v>
      </c>
      <c r="I183" s="801" t="s">
        <v>43</v>
      </c>
      <c r="J183" s="55"/>
      <c r="K183" s="69">
        <f t="shared" si="61"/>
        <v>115.6</v>
      </c>
      <c r="L183" s="69">
        <f t="shared" si="61"/>
        <v>0</v>
      </c>
      <c r="M183" s="69">
        <f t="shared" si="61"/>
        <v>115.6</v>
      </c>
      <c r="N183" s="69">
        <f t="shared" si="61"/>
        <v>115.6</v>
      </c>
    </row>
    <row r="184" spans="1:14" s="168" customFormat="1" ht="54" x14ac:dyDescent="0.35">
      <c r="A184" s="56"/>
      <c r="B184" s="610" t="s">
        <v>317</v>
      </c>
      <c r="C184" s="68" t="s">
        <v>316</v>
      </c>
      <c r="D184" s="55" t="s">
        <v>221</v>
      </c>
      <c r="E184" s="55" t="s">
        <v>63</v>
      </c>
      <c r="F184" s="70" t="s">
        <v>221</v>
      </c>
      <c r="G184" s="71" t="s">
        <v>44</v>
      </c>
      <c r="H184" s="800" t="s">
        <v>36</v>
      </c>
      <c r="I184" s="801" t="s">
        <v>43</v>
      </c>
      <c r="J184" s="55"/>
      <c r="K184" s="69">
        <f t="shared" si="61"/>
        <v>115.6</v>
      </c>
      <c r="L184" s="69">
        <f t="shared" si="61"/>
        <v>0</v>
      </c>
      <c r="M184" s="69">
        <f t="shared" si="61"/>
        <v>115.6</v>
      </c>
      <c r="N184" s="69">
        <f t="shared" si="61"/>
        <v>115.6</v>
      </c>
    </row>
    <row r="185" spans="1:14" s="168" customFormat="1" ht="36" x14ac:dyDescent="0.35">
      <c r="A185" s="56"/>
      <c r="B185" s="610" t="s">
        <v>544</v>
      </c>
      <c r="C185" s="68" t="s">
        <v>316</v>
      </c>
      <c r="D185" s="55" t="s">
        <v>221</v>
      </c>
      <c r="E185" s="55" t="s">
        <v>63</v>
      </c>
      <c r="F185" s="70" t="s">
        <v>221</v>
      </c>
      <c r="G185" s="71" t="s">
        <v>44</v>
      </c>
      <c r="H185" s="800" t="s">
        <v>36</v>
      </c>
      <c r="I185" s="801" t="s">
        <v>543</v>
      </c>
      <c r="J185" s="55"/>
      <c r="K185" s="69">
        <f t="shared" si="61"/>
        <v>115.6</v>
      </c>
      <c r="L185" s="69">
        <f t="shared" si="61"/>
        <v>0</v>
      </c>
      <c r="M185" s="69">
        <f t="shared" si="61"/>
        <v>115.6</v>
      </c>
      <c r="N185" s="69">
        <f t="shared" si="61"/>
        <v>115.6</v>
      </c>
    </row>
    <row r="186" spans="1:14" s="168" customFormat="1" ht="54" x14ac:dyDescent="0.35">
      <c r="A186" s="56"/>
      <c r="B186" s="610" t="s">
        <v>53</v>
      </c>
      <c r="C186" s="68" t="s">
        <v>316</v>
      </c>
      <c r="D186" s="55" t="s">
        <v>221</v>
      </c>
      <c r="E186" s="55" t="s">
        <v>63</v>
      </c>
      <c r="F186" s="70" t="s">
        <v>221</v>
      </c>
      <c r="G186" s="71" t="s">
        <v>44</v>
      </c>
      <c r="H186" s="800" t="s">
        <v>36</v>
      </c>
      <c r="I186" s="801" t="s">
        <v>543</v>
      </c>
      <c r="J186" s="55" t="s">
        <v>54</v>
      </c>
      <c r="K186" s="69">
        <v>115.6</v>
      </c>
      <c r="L186" s="69">
        <f>M186-K186</f>
        <v>0</v>
      </c>
      <c r="M186" s="69">
        <v>115.6</v>
      </c>
      <c r="N186" s="69">
        <v>115.6</v>
      </c>
    </row>
    <row r="187" spans="1:14" s="168" customFormat="1" ht="54" x14ac:dyDescent="0.35">
      <c r="A187" s="56"/>
      <c r="B187" s="610" t="s">
        <v>198</v>
      </c>
      <c r="C187" s="68" t="s">
        <v>316</v>
      </c>
      <c r="D187" s="55" t="s">
        <v>86</v>
      </c>
      <c r="E187" s="55"/>
      <c r="F187" s="70"/>
      <c r="G187" s="71"/>
      <c r="H187" s="800"/>
      <c r="I187" s="801"/>
      <c r="J187" s="55"/>
      <c r="K187" s="69">
        <f t="shared" ref="K187:N190" si="62">K188</f>
        <v>9000</v>
      </c>
      <c r="L187" s="69">
        <f t="shared" si="62"/>
        <v>0</v>
      </c>
      <c r="M187" s="69">
        <f t="shared" si="62"/>
        <v>9000</v>
      </c>
      <c r="N187" s="69">
        <f t="shared" si="62"/>
        <v>9000</v>
      </c>
    </row>
    <row r="188" spans="1:14" s="168" customFormat="1" ht="54" x14ac:dyDescent="0.35">
      <c r="A188" s="56"/>
      <c r="B188" s="659" t="s">
        <v>199</v>
      </c>
      <c r="C188" s="68" t="s">
        <v>316</v>
      </c>
      <c r="D188" s="55" t="s">
        <v>86</v>
      </c>
      <c r="E188" s="55" t="s">
        <v>36</v>
      </c>
      <c r="F188" s="70"/>
      <c r="G188" s="71"/>
      <c r="H188" s="800"/>
      <c r="I188" s="801"/>
      <c r="J188" s="55"/>
      <c r="K188" s="69">
        <f t="shared" si="62"/>
        <v>9000</v>
      </c>
      <c r="L188" s="69">
        <f t="shared" si="62"/>
        <v>0</v>
      </c>
      <c r="M188" s="69">
        <f t="shared" si="62"/>
        <v>9000</v>
      </c>
      <c r="N188" s="69">
        <f t="shared" si="62"/>
        <v>9000</v>
      </c>
    </row>
    <row r="189" spans="1:14" s="168" customFormat="1" ht="54" x14ac:dyDescent="0.35">
      <c r="A189" s="56"/>
      <c r="B189" s="610" t="s">
        <v>220</v>
      </c>
      <c r="C189" s="68" t="s">
        <v>316</v>
      </c>
      <c r="D189" s="55" t="s">
        <v>86</v>
      </c>
      <c r="E189" s="55" t="s">
        <v>36</v>
      </c>
      <c r="F189" s="70" t="s">
        <v>221</v>
      </c>
      <c r="G189" s="71" t="s">
        <v>41</v>
      </c>
      <c r="H189" s="800" t="s">
        <v>42</v>
      </c>
      <c r="I189" s="801" t="s">
        <v>43</v>
      </c>
      <c r="J189" s="55"/>
      <c r="K189" s="69">
        <f t="shared" si="62"/>
        <v>9000</v>
      </c>
      <c r="L189" s="69">
        <f t="shared" si="62"/>
        <v>0</v>
      </c>
      <c r="M189" s="69">
        <f t="shared" si="62"/>
        <v>9000</v>
      </c>
      <c r="N189" s="69">
        <f t="shared" si="62"/>
        <v>9000</v>
      </c>
    </row>
    <row r="190" spans="1:14" s="168" customFormat="1" ht="36" x14ac:dyDescent="0.35">
      <c r="A190" s="56"/>
      <c r="B190" s="610" t="s">
        <v>359</v>
      </c>
      <c r="C190" s="68" t="s">
        <v>316</v>
      </c>
      <c r="D190" s="55" t="s">
        <v>86</v>
      </c>
      <c r="E190" s="55" t="s">
        <v>36</v>
      </c>
      <c r="F190" s="70" t="s">
        <v>221</v>
      </c>
      <c r="G190" s="71" t="s">
        <v>44</v>
      </c>
      <c r="H190" s="800" t="s">
        <v>42</v>
      </c>
      <c r="I190" s="801" t="s">
        <v>43</v>
      </c>
      <c r="J190" s="55"/>
      <c r="K190" s="69">
        <f t="shared" si="62"/>
        <v>9000</v>
      </c>
      <c r="L190" s="69">
        <f t="shared" si="62"/>
        <v>0</v>
      </c>
      <c r="M190" s="69">
        <f t="shared" si="62"/>
        <v>9000</v>
      </c>
      <c r="N190" s="69">
        <f t="shared" si="62"/>
        <v>9000</v>
      </c>
    </row>
    <row r="191" spans="1:14" s="168" customFormat="1" ht="36" x14ac:dyDescent="0.35">
      <c r="A191" s="56"/>
      <c r="B191" s="610" t="s">
        <v>318</v>
      </c>
      <c r="C191" s="68" t="s">
        <v>316</v>
      </c>
      <c r="D191" s="55" t="s">
        <v>86</v>
      </c>
      <c r="E191" s="55" t="s">
        <v>36</v>
      </c>
      <c r="F191" s="70" t="s">
        <v>221</v>
      </c>
      <c r="G191" s="71" t="s">
        <v>44</v>
      </c>
      <c r="H191" s="800" t="s">
        <v>38</v>
      </c>
      <c r="I191" s="801" t="s">
        <v>43</v>
      </c>
      <c r="J191" s="55"/>
      <c r="K191" s="69">
        <f t="shared" ref="K191:N192" si="63">K192</f>
        <v>9000</v>
      </c>
      <c r="L191" s="69">
        <f t="shared" si="63"/>
        <v>0</v>
      </c>
      <c r="M191" s="69">
        <f t="shared" si="63"/>
        <v>9000</v>
      </c>
      <c r="N191" s="69">
        <f t="shared" si="63"/>
        <v>9000</v>
      </c>
    </row>
    <row r="192" spans="1:14" s="168" customFormat="1" ht="36" x14ac:dyDescent="0.35">
      <c r="A192" s="56"/>
      <c r="B192" s="610" t="s">
        <v>272</v>
      </c>
      <c r="C192" s="68" t="s">
        <v>316</v>
      </c>
      <c r="D192" s="55" t="s">
        <v>86</v>
      </c>
      <c r="E192" s="55" t="s">
        <v>36</v>
      </c>
      <c r="F192" s="70" t="s">
        <v>221</v>
      </c>
      <c r="G192" s="71" t="s">
        <v>44</v>
      </c>
      <c r="H192" s="800" t="s">
        <v>38</v>
      </c>
      <c r="I192" s="801" t="s">
        <v>427</v>
      </c>
      <c r="J192" s="55"/>
      <c r="K192" s="69">
        <f t="shared" si="63"/>
        <v>9000</v>
      </c>
      <c r="L192" s="69">
        <f t="shared" si="63"/>
        <v>0</v>
      </c>
      <c r="M192" s="69">
        <f t="shared" si="63"/>
        <v>9000</v>
      </c>
      <c r="N192" s="69">
        <f t="shared" si="63"/>
        <v>9000</v>
      </c>
    </row>
    <row r="193" spans="1:14" s="168" customFormat="1" ht="18" x14ac:dyDescent="0.35">
      <c r="A193" s="56"/>
      <c r="B193" s="610" t="s">
        <v>121</v>
      </c>
      <c r="C193" s="68" t="s">
        <v>316</v>
      </c>
      <c r="D193" s="55" t="s">
        <v>86</v>
      </c>
      <c r="E193" s="55" t="s">
        <v>36</v>
      </c>
      <c r="F193" s="70" t="s">
        <v>221</v>
      </c>
      <c r="G193" s="71" t="s">
        <v>44</v>
      </c>
      <c r="H193" s="800" t="s">
        <v>38</v>
      </c>
      <c r="I193" s="801" t="s">
        <v>427</v>
      </c>
      <c r="J193" s="55" t="s">
        <v>122</v>
      </c>
      <c r="K193" s="69">
        <v>9000</v>
      </c>
      <c r="L193" s="69">
        <f>M193-K193</f>
        <v>0</v>
      </c>
      <c r="M193" s="69">
        <v>9000</v>
      </c>
      <c r="N193" s="69">
        <v>9000</v>
      </c>
    </row>
    <row r="194" spans="1:14" s="168" customFormat="1" ht="18" x14ac:dyDescent="0.35">
      <c r="A194" s="56"/>
      <c r="B194" s="610"/>
      <c r="C194" s="68"/>
      <c r="D194" s="55"/>
      <c r="E194" s="55"/>
      <c r="F194" s="70"/>
      <c r="G194" s="71"/>
      <c r="H194" s="800"/>
      <c r="I194" s="801"/>
      <c r="J194" s="55"/>
      <c r="K194" s="69"/>
      <c r="L194" s="69"/>
      <c r="M194" s="69"/>
      <c r="N194" s="69"/>
    </row>
    <row r="195" spans="1:14" s="169" customFormat="1" ht="52.2" x14ac:dyDescent="0.3">
      <c r="A195" s="162">
        <v>3</v>
      </c>
      <c r="B195" s="656" t="s">
        <v>34</v>
      </c>
      <c r="C195" s="63" t="s">
        <v>127</v>
      </c>
      <c r="D195" s="64"/>
      <c r="E195" s="64"/>
      <c r="F195" s="65"/>
      <c r="G195" s="66"/>
      <c r="H195" s="66"/>
      <c r="I195" s="67"/>
      <c r="J195" s="64"/>
      <c r="K195" s="77">
        <f t="shared" ref="K195:N199" si="64">K196</f>
        <v>7046.2</v>
      </c>
      <c r="L195" s="77">
        <f t="shared" si="64"/>
        <v>0</v>
      </c>
      <c r="M195" s="77">
        <f t="shared" si="64"/>
        <v>7046.2</v>
      </c>
      <c r="N195" s="77">
        <f t="shared" si="64"/>
        <v>7046.2999999999993</v>
      </c>
    </row>
    <row r="196" spans="1:14" s="169" customFormat="1" ht="18" x14ac:dyDescent="0.35">
      <c r="A196" s="56"/>
      <c r="B196" s="610" t="s">
        <v>35</v>
      </c>
      <c r="C196" s="68" t="s">
        <v>127</v>
      </c>
      <c r="D196" s="55" t="s">
        <v>36</v>
      </c>
      <c r="E196" s="55"/>
      <c r="F196" s="799"/>
      <c r="G196" s="800"/>
      <c r="H196" s="800"/>
      <c r="I196" s="801"/>
      <c r="J196" s="55"/>
      <c r="K196" s="69">
        <f t="shared" si="64"/>
        <v>7046.2</v>
      </c>
      <c r="L196" s="69">
        <f t="shared" si="64"/>
        <v>0</v>
      </c>
      <c r="M196" s="69">
        <f t="shared" si="64"/>
        <v>7046.2</v>
      </c>
      <c r="N196" s="69">
        <f t="shared" si="64"/>
        <v>7046.2999999999993</v>
      </c>
    </row>
    <row r="197" spans="1:14" s="169" customFormat="1" ht="72" x14ac:dyDescent="0.35">
      <c r="A197" s="56"/>
      <c r="B197" s="610" t="s">
        <v>128</v>
      </c>
      <c r="C197" s="68" t="s">
        <v>127</v>
      </c>
      <c r="D197" s="55" t="s">
        <v>36</v>
      </c>
      <c r="E197" s="55" t="s">
        <v>79</v>
      </c>
      <c r="F197" s="799"/>
      <c r="G197" s="800"/>
      <c r="H197" s="800"/>
      <c r="I197" s="801"/>
      <c r="J197" s="55"/>
      <c r="K197" s="69">
        <f t="shared" si="64"/>
        <v>7046.2</v>
      </c>
      <c r="L197" s="69">
        <f t="shared" si="64"/>
        <v>0</v>
      </c>
      <c r="M197" s="69">
        <f t="shared" si="64"/>
        <v>7046.2</v>
      </c>
      <c r="N197" s="69">
        <f t="shared" si="64"/>
        <v>7046.2999999999993</v>
      </c>
    </row>
    <row r="198" spans="1:14" s="169" customFormat="1" ht="36" x14ac:dyDescent="0.35">
      <c r="A198" s="56"/>
      <c r="B198" s="642" t="s">
        <v>129</v>
      </c>
      <c r="C198" s="68" t="s">
        <v>127</v>
      </c>
      <c r="D198" s="55" t="s">
        <v>36</v>
      </c>
      <c r="E198" s="55" t="s">
        <v>79</v>
      </c>
      <c r="F198" s="799" t="s">
        <v>130</v>
      </c>
      <c r="G198" s="800" t="s">
        <v>41</v>
      </c>
      <c r="H198" s="800" t="s">
        <v>42</v>
      </c>
      <c r="I198" s="801" t="s">
        <v>43</v>
      </c>
      <c r="J198" s="55"/>
      <c r="K198" s="69">
        <f t="shared" si="64"/>
        <v>7046.2</v>
      </c>
      <c r="L198" s="69">
        <f t="shared" si="64"/>
        <v>0</v>
      </c>
      <c r="M198" s="69">
        <f t="shared" si="64"/>
        <v>7046.2</v>
      </c>
      <c r="N198" s="69">
        <f t="shared" si="64"/>
        <v>7046.2999999999993</v>
      </c>
    </row>
    <row r="199" spans="1:14" s="169" customFormat="1" ht="36" x14ac:dyDescent="0.35">
      <c r="A199" s="56"/>
      <c r="B199" s="642" t="s">
        <v>131</v>
      </c>
      <c r="C199" s="68" t="s">
        <v>127</v>
      </c>
      <c r="D199" s="55" t="s">
        <v>36</v>
      </c>
      <c r="E199" s="55" t="s">
        <v>79</v>
      </c>
      <c r="F199" s="799" t="s">
        <v>130</v>
      </c>
      <c r="G199" s="800" t="s">
        <v>44</v>
      </c>
      <c r="H199" s="800" t="s">
        <v>42</v>
      </c>
      <c r="I199" s="801" t="s">
        <v>43</v>
      </c>
      <c r="J199" s="55"/>
      <c r="K199" s="69">
        <f>K200</f>
        <v>7046.2</v>
      </c>
      <c r="L199" s="69">
        <f t="shared" si="64"/>
        <v>0</v>
      </c>
      <c r="M199" s="69">
        <f>M200</f>
        <v>7046.2</v>
      </c>
      <c r="N199" s="69">
        <f>N200</f>
        <v>7046.2999999999993</v>
      </c>
    </row>
    <row r="200" spans="1:14" s="169" customFormat="1" ht="36" x14ac:dyDescent="0.35">
      <c r="A200" s="56"/>
      <c r="B200" s="610" t="s">
        <v>46</v>
      </c>
      <c r="C200" s="68" t="s">
        <v>127</v>
      </c>
      <c r="D200" s="55" t="s">
        <v>36</v>
      </c>
      <c r="E200" s="55" t="s">
        <v>79</v>
      </c>
      <c r="F200" s="799" t="s">
        <v>130</v>
      </c>
      <c r="G200" s="800" t="s">
        <v>44</v>
      </c>
      <c r="H200" s="800" t="s">
        <v>42</v>
      </c>
      <c r="I200" s="801" t="s">
        <v>47</v>
      </c>
      <c r="J200" s="55"/>
      <c r="K200" s="69">
        <f>K201+K202+K203</f>
        <v>7046.2</v>
      </c>
      <c r="L200" s="69">
        <f t="shared" ref="L200" si="65">L201+L202+L203</f>
        <v>0</v>
      </c>
      <c r="M200" s="69">
        <f>M201+M202+M203</f>
        <v>7046.2</v>
      </c>
      <c r="N200" s="69">
        <f>N201+N202+N203</f>
        <v>7046.2999999999993</v>
      </c>
    </row>
    <row r="201" spans="1:14" s="169" customFormat="1" ht="108" x14ac:dyDescent="0.35">
      <c r="A201" s="56"/>
      <c r="B201" s="610" t="s">
        <v>48</v>
      </c>
      <c r="C201" s="68" t="s">
        <v>127</v>
      </c>
      <c r="D201" s="55" t="s">
        <v>36</v>
      </c>
      <c r="E201" s="55" t="s">
        <v>79</v>
      </c>
      <c r="F201" s="799" t="s">
        <v>130</v>
      </c>
      <c r="G201" s="800" t="s">
        <v>44</v>
      </c>
      <c r="H201" s="800" t="s">
        <v>42</v>
      </c>
      <c r="I201" s="801" t="s">
        <v>47</v>
      </c>
      <c r="J201" s="55" t="s">
        <v>49</v>
      </c>
      <c r="K201" s="69">
        <f>6799.4+11.2</f>
        <v>6810.5999999999995</v>
      </c>
      <c r="L201" s="69">
        <f>M201-K201</f>
        <v>0</v>
      </c>
      <c r="M201" s="69">
        <f>6799.4+11.2</f>
        <v>6810.5999999999995</v>
      </c>
      <c r="N201" s="69">
        <f>6799.4+11.2</f>
        <v>6810.5999999999995</v>
      </c>
    </row>
    <row r="202" spans="1:14" s="169" customFormat="1" ht="54" x14ac:dyDescent="0.35">
      <c r="A202" s="56"/>
      <c r="B202" s="610" t="s">
        <v>53</v>
      </c>
      <c r="C202" s="68" t="s">
        <v>127</v>
      </c>
      <c r="D202" s="55" t="s">
        <v>36</v>
      </c>
      <c r="E202" s="55" t="s">
        <v>79</v>
      </c>
      <c r="F202" s="799" t="s">
        <v>130</v>
      </c>
      <c r="G202" s="800" t="s">
        <v>44</v>
      </c>
      <c r="H202" s="800" t="s">
        <v>42</v>
      </c>
      <c r="I202" s="801" t="s">
        <v>47</v>
      </c>
      <c r="J202" s="55" t="s">
        <v>54</v>
      </c>
      <c r="K202" s="69">
        <v>216.6</v>
      </c>
      <c r="L202" s="69">
        <f>M202-K202</f>
        <v>0</v>
      </c>
      <c r="M202" s="69">
        <v>216.6</v>
      </c>
      <c r="N202" s="69">
        <v>216.7</v>
      </c>
    </row>
    <row r="203" spans="1:14" s="169" customFormat="1" ht="18" x14ac:dyDescent="0.35">
      <c r="A203" s="56"/>
      <c r="B203" s="610" t="s">
        <v>55</v>
      </c>
      <c r="C203" s="68" t="s">
        <v>127</v>
      </c>
      <c r="D203" s="55" t="s">
        <v>36</v>
      </c>
      <c r="E203" s="55" t="s">
        <v>79</v>
      </c>
      <c r="F203" s="799" t="s">
        <v>130</v>
      </c>
      <c r="G203" s="800" t="s">
        <v>44</v>
      </c>
      <c r="H203" s="800" t="s">
        <v>42</v>
      </c>
      <c r="I203" s="801" t="s">
        <v>47</v>
      </c>
      <c r="J203" s="55" t="s">
        <v>56</v>
      </c>
      <c r="K203" s="69">
        <v>19</v>
      </c>
      <c r="L203" s="69">
        <f>M203-K203</f>
        <v>0</v>
      </c>
      <c r="M203" s="69">
        <v>19</v>
      </c>
      <c r="N203" s="69">
        <v>19</v>
      </c>
    </row>
    <row r="204" spans="1:14" s="169" customFormat="1" ht="18" x14ac:dyDescent="0.35">
      <c r="A204" s="56"/>
      <c r="B204" s="610"/>
      <c r="C204" s="68"/>
      <c r="D204" s="55"/>
      <c r="E204" s="55"/>
      <c r="F204" s="799"/>
      <c r="G204" s="800"/>
      <c r="H204" s="800"/>
      <c r="I204" s="801"/>
      <c r="J204" s="55"/>
      <c r="K204" s="69"/>
      <c r="L204" s="69"/>
      <c r="M204" s="69"/>
      <c r="N204" s="69"/>
    </row>
    <row r="205" spans="1:14" s="177" customFormat="1" ht="52.2" x14ac:dyDescent="0.3">
      <c r="A205" s="170">
        <v>4</v>
      </c>
      <c r="B205" s="687" t="s">
        <v>6</v>
      </c>
      <c r="C205" s="171" t="s">
        <v>434</v>
      </c>
      <c r="D205" s="172"/>
      <c r="E205" s="172"/>
      <c r="F205" s="173"/>
      <c r="G205" s="174"/>
      <c r="H205" s="174"/>
      <c r="I205" s="175"/>
      <c r="J205" s="172"/>
      <c r="K205" s="176">
        <f>K206+K254+K241</f>
        <v>82103.599999999991</v>
      </c>
      <c r="L205" s="176">
        <f t="shared" ref="L205" si="66">L206+L254+L241</f>
        <v>22518.800000000003</v>
      </c>
      <c r="M205" s="176">
        <f>M206+M254+M241</f>
        <v>104622.40000000001</v>
      </c>
      <c r="N205" s="176">
        <f>N206+N254+N241</f>
        <v>98964.6</v>
      </c>
    </row>
    <row r="206" spans="1:14" s="183" customFormat="1" ht="18" x14ac:dyDescent="0.35">
      <c r="A206" s="178"/>
      <c r="B206" s="653" t="s">
        <v>35</v>
      </c>
      <c r="C206" s="179" t="s">
        <v>434</v>
      </c>
      <c r="D206" s="180" t="s">
        <v>36</v>
      </c>
      <c r="E206" s="134"/>
      <c r="F206" s="181"/>
      <c r="G206" s="132"/>
      <c r="H206" s="132"/>
      <c r="I206" s="133"/>
      <c r="J206" s="134"/>
      <c r="K206" s="182">
        <f>K207</f>
        <v>39874.470619999993</v>
      </c>
      <c r="L206" s="182">
        <f t="shared" ref="L206" si="67">L207</f>
        <v>21.75468</v>
      </c>
      <c r="M206" s="182">
        <f>M207</f>
        <v>39896.225299999991</v>
      </c>
      <c r="N206" s="182">
        <f>N207</f>
        <v>39909.805900000007</v>
      </c>
    </row>
    <row r="207" spans="1:14" s="177" customFormat="1" ht="18" x14ac:dyDescent="0.35">
      <c r="A207" s="178"/>
      <c r="B207" s="653" t="s">
        <v>68</v>
      </c>
      <c r="C207" s="179" t="s">
        <v>434</v>
      </c>
      <c r="D207" s="180" t="s">
        <v>36</v>
      </c>
      <c r="E207" s="180" t="s">
        <v>69</v>
      </c>
      <c r="F207" s="181"/>
      <c r="G207" s="132"/>
      <c r="H207" s="132"/>
      <c r="I207" s="133"/>
      <c r="J207" s="134"/>
      <c r="K207" s="182">
        <f>K208+K235+K231</f>
        <v>39874.470619999993</v>
      </c>
      <c r="L207" s="182">
        <f t="shared" ref="L207" si="68">L208+L235+L231</f>
        <v>21.75468</v>
      </c>
      <c r="M207" s="182">
        <f>M208+M235+M231</f>
        <v>39896.225299999991</v>
      </c>
      <c r="N207" s="182">
        <f>N208+N235+N231</f>
        <v>39909.805900000007</v>
      </c>
    </row>
    <row r="208" spans="1:14" s="183" customFormat="1" ht="54" x14ac:dyDescent="0.35">
      <c r="A208" s="178"/>
      <c r="B208" s="653" t="s">
        <v>222</v>
      </c>
      <c r="C208" s="179" t="s">
        <v>434</v>
      </c>
      <c r="D208" s="180" t="s">
        <v>36</v>
      </c>
      <c r="E208" s="180" t="s">
        <v>69</v>
      </c>
      <c r="F208" s="142" t="s">
        <v>223</v>
      </c>
      <c r="G208" s="132" t="s">
        <v>41</v>
      </c>
      <c r="H208" s="132" t="s">
        <v>42</v>
      </c>
      <c r="I208" s="133" t="s">
        <v>43</v>
      </c>
      <c r="J208" s="134"/>
      <c r="K208" s="182">
        <f>K209+K213</f>
        <v>33178.199999999997</v>
      </c>
      <c r="L208" s="182">
        <f t="shared" ref="L208" si="69">L209+L213</f>
        <v>0</v>
      </c>
      <c r="M208" s="182">
        <f>M209+M213</f>
        <v>33178.199999999997</v>
      </c>
      <c r="N208" s="182">
        <f>N209+N213</f>
        <v>33188.700000000004</v>
      </c>
    </row>
    <row r="209" spans="1:14" s="183" customFormat="1" ht="36" x14ac:dyDescent="0.35">
      <c r="A209" s="178"/>
      <c r="B209" s="653" t="s">
        <v>224</v>
      </c>
      <c r="C209" s="179" t="s">
        <v>434</v>
      </c>
      <c r="D209" s="180" t="s">
        <v>36</v>
      </c>
      <c r="E209" s="180" t="s">
        <v>69</v>
      </c>
      <c r="F209" s="184" t="s">
        <v>223</v>
      </c>
      <c r="G209" s="185" t="s">
        <v>44</v>
      </c>
      <c r="H209" s="185" t="s">
        <v>42</v>
      </c>
      <c r="I209" s="186" t="s">
        <v>43</v>
      </c>
      <c r="J209" s="134"/>
      <c r="K209" s="182">
        <f t="shared" ref="K209:N211" si="70">K210</f>
        <v>1246.5</v>
      </c>
      <c r="L209" s="182">
        <f t="shared" si="70"/>
        <v>0</v>
      </c>
      <c r="M209" s="182">
        <f t="shared" si="70"/>
        <v>1246.5</v>
      </c>
      <c r="N209" s="182">
        <f t="shared" si="70"/>
        <v>1254.0999999999999</v>
      </c>
    </row>
    <row r="210" spans="1:14" s="177" customFormat="1" ht="36" x14ac:dyDescent="0.35">
      <c r="A210" s="178"/>
      <c r="B210" s="663" t="s">
        <v>358</v>
      </c>
      <c r="C210" s="179" t="s">
        <v>434</v>
      </c>
      <c r="D210" s="180" t="s">
        <v>36</v>
      </c>
      <c r="E210" s="180" t="s">
        <v>69</v>
      </c>
      <c r="F210" s="131" t="s">
        <v>223</v>
      </c>
      <c r="G210" s="132" t="s">
        <v>44</v>
      </c>
      <c r="H210" s="132" t="s">
        <v>38</v>
      </c>
      <c r="I210" s="133" t="s">
        <v>43</v>
      </c>
      <c r="J210" s="134"/>
      <c r="K210" s="182">
        <f>K211</f>
        <v>1246.5</v>
      </c>
      <c r="L210" s="182">
        <f t="shared" si="70"/>
        <v>0</v>
      </c>
      <c r="M210" s="182">
        <f>M211</f>
        <v>1246.5</v>
      </c>
      <c r="N210" s="182">
        <f>N211</f>
        <v>1254.0999999999999</v>
      </c>
    </row>
    <row r="211" spans="1:14" s="177" customFormat="1" ht="36" x14ac:dyDescent="0.35">
      <c r="A211" s="178"/>
      <c r="B211" s="663" t="s">
        <v>357</v>
      </c>
      <c r="C211" s="179" t="s">
        <v>434</v>
      </c>
      <c r="D211" s="180" t="s">
        <v>36</v>
      </c>
      <c r="E211" s="180" t="s">
        <v>69</v>
      </c>
      <c r="F211" s="131" t="s">
        <v>223</v>
      </c>
      <c r="G211" s="132" t="s">
        <v>44</v>
      </c>
      <c r="H211" s="132" t="s">
        <v>38</v>
      </c>
      <c r="I211" s="133" t="s">
        <v>356</v>
      </c>
      <c r="J211" s="134"/>
      <c r="K211" s="182">
        <f t="shared" si="70"/>
        <v>1246.5</v>
      </c>
      <c r="L211" s="182">
        <f t="shared" si="70"/>
        <v>0</v>
      </c>
      <c r="M211" s="182">
        <f t="shared" si="70"/>
        <v>1246.5</v>
      </c>
      <c r="N211" s="182">
        <f t="shared" si="70"/>
        <v>1254.0999999999999</v>
      </c>
    </row>
    <row r="212" spans="1:14" s="177" customFormat="1" ht="54" x14ac:dyDescent="0.35">
      <c r="A212" s="178"/>
      <c r="B212" s="663" t="s">
        <v>53</v>
      </c>
      <c r="C212" s="179" t="s">
        <v>434</v>
      </c>
      <c r="D212" s="180" t="s">
        <v>36</v>
      </c>
      <c r="E212" s="180" t="s">
        <v>69</v>
      </c>
      <c r="F212" s="131" t="s">
        <v>223</v>
      </c>
      <c r="G212" s="132" t="s">
        <v>44</v>
      </c>
      <c r="H212" s="132" t="s">
        <v>38</v>
      </c>
      <c r="I212" s="133" t="s">
        <v>356</v>
      </c>
      <c r="J212" s="134" t="s">
        <v>54</v>
      </c>
      <c r="K212" s="182">
        <v>1246.5</v>
      </c>
      <c r="L212" s="69">
        <f>M212-K212</f>
        <v>0</v>
      </c>
      <c r="M212" s="182">
        <v>1246.5</v>
      </c>
      <c r="N212" s="182">
        <v>1254.0999999999999</v>
      </c>
    </row>
    <row r="213" spans="1:14" s="177" customFormat="1" ht="36" x14ac:dyDescent="0.35">
      <c r="A213" s="178"/>
      <c r="B213" s="653" t="s">
        <v>226</v>
      </c>
      <c r="C213" s="179" t="s">
        <v>434</v>
      </c>
      <c r="D213" s="180" t="s">
        <v>36</v>
      </c>
      <c r="E213" s="180" t="s">
        <v>69</v>
      </c>
      <c r="F213" s="142" t="s">
        <v>223</v>
      </c>
      <c r="G213" s="132" t="s">
        <v>87</v>
      </c>
      <c r="H213" s="132" t="s">
        <v>42</v>
      </c>
      <c r="I213" s="133" t="s">
        <v>43</v>
      </c>
      <c r="J213" s="134"/>
      <c r="K213" s="182">
        <f>K214+K225+K228</f>
        <v>31931.699999999997</v>
      </c>
      <c r="L213" s="182">
        <f t="shared" ref="L213" si="71">L214+L225+L228</f>
        <v>0</v>
      </c>
      <c r="M213" s="182">
        <f>M214+M225+M228</f>
        <v>31931.699999999997</v>
      </c>
      <c r="N213" s="182">
        <f>N214+N225+N228</f>
        <v>31934.600000000002</v>
      </c>
    </row>
    <row r="214" spans="1:14" s="183" customFormat="1" ht="72" x14ac:dyDescent="0.35">
      <c r="A214" s="178"/>
      <c r="B214" s="653" t="s">
        <v>315</v>
      </c>
      <c r="C214" s="179" t="s">
        <v>434</v>
      </c>
      <c r="D214" s="180" t="s">
        <v>36</v>
      </c>
      <c r="E214" s="180" t="s">
        <v>69</v>
      </c>
      <c r="F214" s="142" t="s">
        <v>223</v>
      </c>
      <c r="G214" s="132" t="s">
        <v>87</v>
      </c>
      <c r="H214" s="132" t="s">
        <v>36</v>
      </c>
      <c r="I214" s="133" t="s">
        <v>43</v>
      </c>
      <c r="J214" s="134"/>
      <c r="K214" s="182">
        <f>K215+K219+K223</f>
        <v>31109.899999999998</v>
      </c>
      <c r="L214" s="182">
        <f t="shared" ref="L214" si="72">L215+L219+L223</f>
        <v>0</v>
      </c>
      <c r="M214" s="182">
        <f>M215+M219+M223</f>
        <v>31109.899999999998</v>
      </c>
      <c r="N214" s="182">
        <f>N215+N219+N223</f>
        <v>31112.800000000003</v>
      </c>
    </row>
    <row r="215" spans="1:14" s="177" customFormat="1" ht="36" x14ac:dyDescent="0.35">
      <c r="A215" s="178"/>
      <c r="B215" s="653" t="s">
        <v>46</v>
      </c>
      <c r="C215" s="179" t="s">
        <v>434</v>
      </c>
      <c r="D215" s="180" t="s">
        <v>36</v>
      </c>
      <c r="E215" s="180" t="s">
        <v>69</v>
      </c>
      <c r="F215" s="187" t="s">
        <v>223</v>
      </c>
      <c r="G215" s="185" t="s">
        <v>87</v>
      </c>
      <c r="H215" s="185" t="s">
        <v>36</v>
      </c>
      <c r="I215" s="186" t="s">
        <v>47</v>
      </c>
      <c r="J215" s="134"/>
      <c r="K215" s="182">
        <f>K216+K217+K218</f>
        <v>16963.100000000002</v>
      </c>
      <c r="L215" s="182">
        <f t="shared" ref="L215" si="73">L216+L217+L218</f>
        <v>0</v>
      </c>
      <c r="M215" s="182">
        <f>M216+M217+M218</f>
        <v>16963.100000000002</v>
      </c>
      <c r="N215" s="182">
        <f>N216+N217+N218</f>
        <v>16963.500000000004</v>
      </c>
    </row>
    <row r="216" spans="1:14" s="183" customFormat="1" ht="108" x14ac:dyDescent="0.35">
      <c r="A216" s="178"/>
      <c r="B216" s="610" t="s">
        <v>48</v>
      </c>
      <c r="C216" s="179" t="s">
        <v>434</v>
      </c>
      <c r="D216" s="180" t="s">
        <v>36</v>
      </c>
      <c r="E216" s="180" t="s">
        <v>69</v>
      </c>
      <c r="F216" s="142" t="s">
        <v>223</v>
      </c>
      <c r="G216" s="132" t="s">
        <v>87</v>
      </c>
      <c r="H216" s="132" t="s">
        <v>36</v>
      </c>
      <c r="I216" s="133" t="s">
        <v>47</v>
      </c>
      <c r="J216" s="134" t="s">
        <v>49</v>
      </c>
      <c r="K216" s="182">
        <f>16396.9+176.7</f>
        <v>16573.600000000002</v>
      </c>
      <c r="L216" s="69">
        <f>M216-K216</f>
        <v>0</v>
      </c>
      <c r="M216" s="182">
        <f>16396.9+176.7</f>
        <v>16573.600000000002</v>
      </c>
      <c r="N216" s="182">
        <f>16396.9+176.7</f>
        <v>16573.600000000002</v>
      </c>
    </row>
    <row r="217" spans="1:14" s="183" customFormat="1" ht="54" x14ac:dyDescent="0.35">
      <c r="A217" s="178"/>
      <c r="B217" s="663" t="s">
        <v>53</v>
      </c>
      <c r="C217" s="179" t="s">
        <v>434</v>
      </c>
      <c r="D217" s="180" t="s">
        <v>36</v>
      </c>
      <c r="E217" s="180" t="s">
        <v>69</v>
      </c>
      <c r="F217" s="142" t="s">
        <v>223</v>
      </c>
      <c r="G217" s="132" t="s">
        <v>87</v>
      </c>
      <c r="H217" s="132" t="s">
        <v>36</v>
      </c>
      <c r="I217" s="133" t="s">
        <v>47</v>
      </c>
      <c r="J217" s="134" t="s">
        <v>54</v>
      </c>
      <c r="K217" s="182">
        <v>388</v>
      </c>
      <c r="L217" s="69">
        <f>M217-K217</f>
        <v>0</v>
      </c>
      <c r="M217" s="182">
        <v>388</v>
      </c>
      <c r="N217" s="182">
        <v>388.4</v>
      </c>
    </row>
    <row r="218" spans="1:14" s="183" customFormat="1" ht="18" x14ac:dyDescent="0.35">
      <c r="A218" s="178"/>
      <c r="B218" s="653" t="s">
        <v>55</v>
      </c>
      <c r="C218" s="179" t="s">
        <v>434</v>
      </c>
      <c r="D218" s="180" t="s">
        <v>36</v>
      </c>
      <c r="E218" s="180" t="s">
        <v>69</v>
      </c>
      <c r="F218" s="142" t="s">
        <v>223</v>
      </c>
      <c r="G218" s="132" t="s">
        <v>87</v>
      </c>
      <c r="H218" s="132" t="s">
        <v>36</v>
      </c>
      <c r="I218" s="133" t="s">
        <v>47</v>
      </c>
      <c r="J218" s="134" t="s">
        <v>56</v>
      </c>
      <c r="K218" s="182">
        <v>1.5</v>
      </c>
      <c r="L218" s="69">
        <f>M218-K218</f>
        <v>0</v>
      </c>
      <c r="M218" s="182">
        <v>1.5</v>
      </c>
      <c r="N218" s="182">
        <v>1.5</v>
      </c>
    </row>
    <row r="219" spans="1:14" s="183" customFormat="1" ht="36" x14ac:dyDescent="0.35">
      <c r="A219" s="178"/>
      <c r="B219" s="686" t="s">
        <v>484</v>
      </c>
      <c r="C219" s="179" t="s">
        <v>434</v>
      </c>
      <c r="D219" s="180" t="s">
        <v>36</v>
      </c>
      <c r="E219" s="180" t="s">
        <v>69</v>
      </c>
      <c r="F219" s="142" t="s">
        <v>223</v>
      </c>
      <c r="G219" s="132" t="s">
        <v>87</v>
      </c>
      <c r="H219" s="132" t="s">
        <v>36</v>
      </c>
      <c r="I219" s="133" t="s">
        <v>89</v>
      </c>
      <c r="J219" s="134"/>
      <c r="K219" s="182">
        <f>K220+K221+K222</f>
        <v>13745.499999999998</v>
      </c>
      <c r="L219" s="182">
        <f t="shared" ref="L219" si="74">L220+L221+L222</f>
        <v>0</v>
      </c>
      <c r="M219" s="182">
        <f>M220+M221+M222</f>
        <v>13745.499999999998</v>
      </c>
      <c r="N219" s="182">
        <f>N220+N221+N222</f>
        <v>13748</v>
      </c>
    </row>
    <row r="220" spans="1:14" s="183" customFormat="1" ht="108" x14ac:dyDescent="0.35">
      <c r="A220" s="178"/>
      <c r="B220" s="610" t="s">
        <v>48</v>
      </c>
      <c r="C220" s="179" t="s">
        <v>434</v>
      </c>
      <c r="D220" s="180" t="s">
        <v>36</v>
      </c>
      <c r="E220" s="180" t="s">
        <v>69</v>
      </c>
      <c r="F220" s="142" t="s">
        <v>223</v>
      </c>
      <c r="G220" s="132" t="s">
        <v>87</v>
      </c>
      <c r="H220" s="132" t="s">
        <v>36</v>
      </c>
      <c r="I220" s="133" t="s">
        <v>89</v>
      </c>
      <c r="J220" s="134" t="s">
        <v>49</v>
      </c>
      <c r="K220" s="182">
        <f>10014.4+3013.5+7.3</f>
        <v>13035.199999999999</v>
      </c>
      <c r="L220" s="69">
        <f>M220-K220</f>
        <v>0</v>
      </c>
      <c r="M220" s="182">
        <f>10014.4+3013.5+7.3</f>
        <v>13035.199999999999</v>
      </c>
      <c r="N220" s="182">
        <f>10014.4+3013.5+7.3</f>
        <v>13035.199999999999</v>
      </c>
    </row>
    <row r="221" spans="1:14" s="183" customFormat="1" ht="54" x14ac:dyDescent="0.35">
      <c r="A221" s="178"/>
      <c r="B221" s="663" t="s">
        <v>53</v>
      </c>
      <c r="C221" s="179" t="s">
        <v>434</v>
      </c>
      <c r="D221" s="180" t="s">
        <v>36</v>
      </c>
      <c r="E221" s="180" t="s">
        <v>69</v>
      </c>
      <c r="F221" s="187" t="s">
        <v>223</v>
      </c>
      <c r="G221" s="185" t="s">
        <v>87</v>
      </c>
      <c r="H221" s="185" t="s">
        <v>36</v>
      </c>
      <c r="I221" s="186" t="s">
        <v>89</v>
      </c>
      <c r="J221" s="134" t="s">
        <v>54</v>
      </c>
      <c r="K221" s="182">
        <v>689</v>
      </c>
      <c r="L221" s="69">
        <f>M221-K221</f>
        <v>0</v>
      </c>
      <c r="M221" s="182">
        <v>689</v>
      </c>
      <c r="N221" s="182">
        <v>692.6</v>
      </c>
    </row>
    <row r="222" spans="1:14" s="183" customFormat="1" ht="18" x14ac:dyDescent="0.35">
      <c r="A222" s="178"/>
      <c r="B222" s="653" t="s">
        <v>55</v>
      </c>
      <c r="C222" s="179" t="s">
        <v>434</v>
      </c>
      <c r="D222" s="180" t="s">
        <v>36</v>
      </c>
      <c r="E222" s="180" t="s">
        <v>69</v>
      </c>
      <c r="F222" s="142" t="s">
        <v>223</v>
      </c>
      <c r="G222" s="132" t="s">
        <v>87</v>
      </c>
      <c r="H222" s="132" t="s">
        <v>36</v>
      </c>
      <c r="I222" s="133" t="s">
        <v>89</v>
      </c>
      <c r="J222" s="134" t="s">
        <v>56</v>
      </c>
      <c r="K222" s="182">
        <v>21.3</v>
      </c>
      <c r="L222" s="69">
        <f>M222-K222</f>
        <v>0</v>
      </c>
      <c r="M222" s="182">
        <v>21.3</v>
      </c>
      <c r="N222" s="182">
        <v>20.2</v>
      </c>
    </row>
    <row r="223" spans="1:14" s="183" customFormat="1" ht="54" x14ac:dyDescent="0.35">
      <c r="A223" s="178"/>
      <c r="B223" s="663" t="s">
        <v>374</v>
      </c>
      <c r="C223" s="179" t="s">
        <v>434</v>
      </c>
      <c r="D223" s="180" t="s">
        <v>36</v>
      </c>
      <c r="E223" s="180" t="s">
        <v>69</v>
      </c>
      <c r="F223" s="142" t="s">
        <v>223</v>
      </c>
      <c r="G223" s="132" t="s">
        <v>87</v>
      </c>
      <c r="H223" s="132" t="s">
        <v>36</v>
      </c>
      <c r="I223" s="133" t="s">
        <v>373</v>
      </c>
      <c r="J223" s="134"/>
      <c r="K223" s="182">
        <f>K224</f>
        <v>401.3</v>
      </c>
      <c r="L223" s="182">
        <f t="shared" ref="L223" si="75">L224</f>
        <v>0</v>
      </c>
      <c r="M223" s="182">
        <f>M224</f>
        <v>401.3</v>
      </c>
      <c r="N223" s="182">
        <f>N224</f>
        <v>401.3</v>
      </c>
    </row>
    <row r="224" spans="1:14" s="183" customFormat="1" ht="54" x14ac:dyDescent="0.35">
      <c r="A224" s="178"/>
      <c r="B224" s="663" t="s">
        <v>53</v>
      </c>
      <c r="C224" s="179" t="s">
        <v>434</v>
      </c>
      <c r="D224" s="180" t="s">
        <v>36</v>
      </c>
      <c r="E224" s="180" t="s">
        <v>69</v>
      </c>
      <c r="F224" s="142" t="s">
        <v>223</v>
      </c>
      <c r="G224" s="132" t="s">
        <v>87</v>
      </c>
      <c r="H224" s="132" t="s">
        <v>36</v>
      </c>
      <c r="I224" s="212" t="s">
        <v>373</v>
      </c>
      <c r="J224" s="134" t="s">
        <v>54</v>
      </c>
      <c r="K224" s="182">
        <v>401.3</v>
      </c>
      <c r="L224" s="69">
        <f>M224-K224</f>
        <v>0</v>
      </c>
      <c r="M224" s="182">
        <v>401.3</v>
      </c>
      <c r="N224" s="182">
        <v>401.3</v>
      </c>
    </row>
    <row r="225" spans="1:14" s="183" customFormat="1" ht="36" x14ac:dyDescent="0.35">
      <c r="A225" s="178"/>
      <c r="B225" s="665" t="s">
        <v>371</v>
      </c>
      <c r="C225" s="214" t="s">
        <v>434</v>
      </c>
      <c r="D225" s="215" t="s">
        <v>36</v>
      </c>
      <c r="E225" s="215" t="s">
        <v>69</v>
      </c>
      <c r="F225" s="142" t="s">
        <v>223</v>
      </c>
      <c r="G225" s="143" t="s">
        <v>87</v>
      </c>
      <c r="H225" s="143" t="s">
        <v>38</v>
      </c>
      <c r="I225" s="144" t="s">
        <v>43</v>
      </c>
      <c r="J225" s="145"/>
      <c r="K225" s="182">
        <f t="shared" ref="K225:N226" si="76">K226</f>
        <v>811.2</v>
      </c>
      <c r="L225" s="182">
        <f t="shared" si="76"/>
        <v>0</v>
      </c>
      <c r="M225" s="182">
        <f t="shared" si="76"/>
        <v>811.2</v>
      </c>
      <c r="N225" s="182">
        <f t="shared" si="76"/>
        <v>811.2</v>
      </c>
    </row>
    <row r="226" spans="1:14" s="183" customFormat="1" ht="54" x14ac:dyDescent="0.35">
      <c r="A226" s="178"/>
      <c r="B226" s="666" t="s">
        <v>372</v>
      </c>
      <c r="C226" s="179" t="s">
        <v>434</v>
      </c>
      <c r="D226" s="180" t="s">
        <v>36</v>
      </c>
      <c r="E226" s="180" t="s">
        <v>69</v>
      </c>
      <c r="F226" s="188" t="s">
        <v>223</v>
      </c>
      <c r="G226" s="143" t="s">
        <v>87</v>
      </c>
      <c r="H226" s="143" t="s">
        <v>38</v>
      </c>
      <c r="I226" s="144" t="s">
        <v>103</v>
      </c>
      <c r="J226" s="146"/>
      <c r="K226" s="182">
        <f t="shared" si="76"/>
        <v>811.2</v>
      </c>
      <c r="L226" s="182">
        <f t="shared" si="76"/>
        <v>0</v>
      </c>
      <c r="M226" s="182">
        <f t="shared" si="76"/>
        <v>811.2</v>
      </c>
      <c r="N226" s="182">
        <f t="shared" si="76"/>
        <v>811.2</v>
      </c>
    </row>
    <row r="227" spans="1:14" s="183" customFormat="1" ht="54" x14ac:dyDescent="0.35">
      <c r="A227" s="178"/>
      <c r="B227" s="667" t="s">
        <v>53</v>
      </c>
      <c r="C227" s="179" t="s">
        <v>434</v>
      </c>
      <c r="D227" s="180" t="s">
        <v>36</v>
      </c>
      <c r="E227" s="180" t="s">
        <v>69</v>
      </c>
      <c r="F227" s="188" t="s">
        <v>223</v>
      </c>
      <c r="G227" s="148" t="s">
        <v>87</v>
      </c>
      <c r="H227" s="148" t="s">
        <v>38</v>
      </c>
      <c r="I227" s="221" t="s">
        <v>103</v>
      </c>
      <c r="J227" s="222" t="s">
        <v>54</v>
      </c>
      <c r="K227" s="182">
        <v>811.2</v>
      </c>
      <c r="L227" s="69">
        <f>M227-K227</f>
        <v>0</v>
      </c>
      <c r="M227" s="182">
        <v>811.2</v>
      </c>
      <c r="N227" s="182">
        <v>811.2</v>
      </c>
    </row>
    <row r="228" spans="1:14" s="183" customFormat="1" ht="36" x14ac:dyDescent="0.35">
      <c r="A228" s="178"/>
      <c r="B228" s="668" t="s">
        <v>395</v>
      </c>
      <c r="C228" s="179" t="s">
        <v>434</v>
      </c>
      <c r="D228" s="180" t="s">
        <v>36</v>
      </c>
      <c r="E228" s="180" t="s">
        <v>69</v>
      </c>
      <c r="F228" s="188" t="s">
        <v>223</v>
      </c>
      <c r="G228" s="143" t="s">
        <v>87</v>
      </c>
      <c r="H228" s="143" t="s">
        <v>61</v>
      </c>
      <c r="I228" s="144" t="s">
        <v>43</v>
      </c>
      <c r="J228" s="146"/>
      <c r="K228" s="182">
        <f t="shared" ref="K228:N229" si="77">K229</f>
        <v>10.6</v>
      </c>
      <c r="L228" s="182">
        <f t="shared" si="77"/>
        <v>0</v>
      </c>
      <c r="M228" s="182">
        <f t="shared" si="77"/>
        <v>10.6</v>
      </c>
      <c r="N228" s="182">
        <f t="shared" si="77"/>
        <v>10.6</v>
      </c>
    </row>
    <row r="229" spans="1:14" s="183" customFormat="1" ht="36" x14ac:dyDescent="0.35">
      <c r="A229" s="178"/>
      <c r="B229" s="668" t="s">
        <v>357</v>
      </c>
      <c r="C229" s="179" t="s">
        <v>434</v>
      </c>
      <c r="D229" s="180" t="s">
        <v>36</v>
      </c>
      <c r="E229" s="180" t="s">
        <v>69</v>
      </c>
      <c r="F229" s="147" t="s">
        <v>223</v>
      </c>
      <c r="G229" s="148" t="s">
        <v>87</v>
      </c>
      <c r="H229" s="148" t="s">
        <v>61</v>
      </c>
      <c r="I229" s="221" t="s">
        <v>356</v>
      </c>
      <c r="J229" s="146"/>
      <c r="K229" s="182">
        <f t="shared" si="77"/>
        <v>10.6</v>
      </c>
      <c r="L229" s="182">
        <f t="shared" si="77"/>
        <v>0</v>
      </c>
      <c r="M229" s="182">
        <f t="shared" si="77"/>
        <v>10.6</v>
      </c>
      <c r="N229" s="182">
        <f t="shared" si="77"/>
        <v>10.6</v>
      </c>
    </row>
    <row r="230" spans="1:14" s="183" customFormat="1" ht="18" x14ac:dyDescent="0.35">
      <c r="A230" s="178"/>
      <c r="B230" s="653" t="s">
        <v>55</v>
      </c>
      <c r="C230" s="224" t="s">
        <v>434</v>
      </c>
      <c r="D230" s="180" t="s">
        <v>36</v>
      </c>
      <c r="E230" s="180" t="s">
        <v>69</v>
      </c>
      <c r="F230" s="142" t="s">
        <v>223</v>
      </c>
      <c r="G230" s="143" t="s">
        <v>87</v>
      </c>
      <c r="H230" s="143" t="s">
        <v>61</v>
      </c>
      <c r="I230" s="144" t="s">
        <v>356</v>
      </c>
      <c r="J230" s="146" t="s">
        <v>56</v>
      </c>
      <c r="K230" s="182">
        <v>10.6</v>
      </c>
      <c r="L230" s="69">
        <f>M230-K230</f>
        <v>0</v>
      </c>
      <c r="M230" s="182">
        <v>10.6</v>
      </c>
      <c r="N230" s="182">
        <v>10.6</v>
      </c>
    </row>
    <row r="231" spans="1:14" s="183" customFormat="1" ht="36" x14ac:dyDescent="0.35">
      <c r="A231" s="178"/>
      <c r="B231" s="639" t="s">
        <v>359</v>
      </c>
      <c r="C231" s="598" t="s">
        <v>434</v>
      </c>
      <c r="D231" s="588" t="s">
        <v>36</v>
      </c>
      <c r="E231" s="588" t="s">
        <v>69</v>
      </c>
      <c r="F231" s="488" t="s">
        <v>77</v>
      </c>
      <c r="G231" s="489" t="s">
        <v>44</v>
      </c>
      <c r="H231" s="489" t="s">
        <v>42</v>
      </c>
      <c r="I231" s="490" t="s">
        <v>43</v>
      </c>
      <c r="J231" s="491"/>
      <c r="K231" s="182">
        <f t="shared" ref="K231:N233" si="78">K232</f>
        <v>38.070619999999998</v>
      </c>
      <c r="L231" s="182">
        <f t="shared" si="78"/>
        <v>21.75468</v>
      </c>
      <c r="M231" s="182">
        <f t="shared" si="78"/>
        <v>59.825299999999999</v>
      </c>
      <c r="N231" s="182">
        <f t="shared" si="78"/>
        <v>57.105899999999998</v>
      </c>
    </row>
    <row r="232" spans="1:14" s="183" customFormat="1" ht="90" x14ac:dyDescent="0.35">
      <c r="A232" s="178"/>
      <c r="B232" s="639" t="s">
        <v>314</v>
      </c>
      <c r="C232" s="598" t="s">
        <v>434</v>
      </c>
      <c r="D232" s="588" t="s">
        <v>36</v>
      </c>
      <c r="E232" s="588" t="s">
        <v>69</v>
      </c>
      <c r="F232" s="488" t="s">
        <v>77</v>
      </c>
      <c r="G232" s="489" t="s">
        <v>44</v>
      </c>
      <c r="H232" s="489" t="s">
        <v>38</v>
      </c>
      <c r="I232" s="490" t="s">
        <v>43</v>
      </c>
      <c r="J232" s="491"/>
      <c r="K232" s="182">
        <f t="shared" si="78"/>
        <v>38.070619999999998</v>
      </c>
      <c r="L232" s="182">
        <f t="shared" si="78"/>
        <v>21.75468</v>
      </c>
      <c r="M232" s="182">
        <f t="shared" si="78"/>
        <v>59.825299999999999</v>
      </c>
      <c r="N232" s="182">
        <f t="shared" si="78"/>
        <v>57.105899999999998</v>
      </c>
    </row>
    <row r="233" spans="1:14" s="183" customFormat="1" ht="108" x14ac:dyDescent="0.35">
      <c r="A233" s="178"/>
      <c r="B233" s="636" t="s">
        <v>756</v>
      </c>
      <c r="C233" s="587" t="s">
        <v>434</v>
      </c>
      <c r="D233" s="588" t="s">
        <v>36</v>
      </c>
      <c r="E233" s="588" t="s">
        <v>69</v>
      </c>
      <c r="F233" s="445" t="s">
        <v>77</v>
      </c>
      <c r="G233" s="446" t="s">
        <v>44</v>
      </c>
      <c r="H233" s="446" t="s">
        <v>38</v>
      </c>
      <c r="I233" s="447" t="s">
        <v>665</v>
      </c>
      <c r="J233" s="448"/>
      <c r="K233" s="182">
        <f t="shared" si="78"/>
        <v>38.070619999999998</v>
      </c>
      <c r="L233" s="182">
        <f t="shared" si="78"/>
        <v>21.75468</v>
      </c>
      <c r="M233" s="182">
        <f t="shared" si="78"/>
        <v>59.825299999999999</v>
      </c>
      <c r="N233" s="182">
        <f t="shared" si="78"/>
        <v>57.105899999999998</v>
      </c>
    </row>
    <row r="234" spans="1:14" s="183" customFormat="1" ht="54" x14ac:dyDescent="0.35">
      <c r="A234" s="178"/>
      <c r="B234" s="639" t="s">
        <v>53</v>
      </c>
      <c r="C234" s="587" t="s">
        <v>434</v>
      </c>
      <c r="D234" s="588" t="s">
        <v>36</v>
      </c>
      <c r="E234" s="588" t="s">
        <v>69</v>
      </c>
      <c r="F234" s="445" t="s">
        <v>77</v>
      </c>
      <c r="G234" s="446" t="s">
        <v>44</v>
      </c>
      <c r="H234" s="446" t="s">
        <v>38</v>
      </c>
      <c r="I234" s="447" t="s">
        <v>665</v>
      </c>
      <c r="J234" s="599" t="s">
        <v>54</v>
      </c>
      <c r="K234" s="182">
        <v>38.070619999999998</v>
      </c>
      <c r="L234" s="69">
        <f>M234-K234</f>
        <v>21.75468</v>
      </c>
      <c r="M234" s="182">
        <f>38.07062+21.75468</f>
        <v>59.825299999999999</v>
      </c>
      <c r="N234" s="182">
        <f>35.35129+21.75461</f>
        <v>57.105899999999998</v>
      </c>
    </row>
    <row r="235" spans="1:14" s="183" customFormat="1" ht="54" x14ac:dyDescent="0.35">
      <c r="A235" s="178"/>
      <c r="B235" s="669" t="s">
        <v>39</v>
      </c>
      <c r="C235" s="179" t="s">
        <v>434</v>
      </c>
      <c r="D235" s="180" t="s">
        <v>36</v>
      </c>
      <c r="E235" s="180" t="s">
        <v>69</v>
      </c>
      <c r="F235" s="188" t="s">
        <v>40</v>
      </c>
      <c r="G235" s="132" t="s">
        <v>41</v>
      </c>
      <c r="H235" s="132" t="s">
        <v>42</v>
      </c>
      <c r="I235" s="133" t="s">
        <v>43</v>
      </c>
      <c r="J235" s="134"/>
      <c r="K235" s="182">
        <f t="shared" ref="K235:N237" si="79">K236</f>
        <v>6658.2000000000007</v>
      </c>
      <c r="L235" s="182">
        <f t="shared" si="79"/>
        <v>0</v>
      </c>
      <c r="M235" s="182">
        <f t="shared" si="79"/>
        <v>6658.2000000000007</v>
      </c>
      <c r="N235" s="182">
        <f t="shared" si="79"/>
        <v>6664.0000000000009</v>
      </c>
    </row>
    <row r="236" spans="1:14" s="183" customFormat="1" ht="36" x14ac:dyDescent="0.35">
      <c r="A236" s="178"/>
      <c r="B236" s="663" t="s">
        <v>359</v>
      </c>
      <c r="C236" s="179" t="s">
        <v>434</v>
      </c>
      <c r="D236" s="180" t="s">
        <v>36</v>
      </c>
      <c r="E236" s="180" t="s">
        <v>69</v>
      </c>
      <c r="F236" s="142" t="s">
        <v>40</v>
      </c>
      <c r="G236" s="132" t="s">
        <v>44</v>
      </c>
      <c r="H236" s="132" t="s">
        <v>42</v>
      </c>
      <c r="I236" s="133" t="s">
        <v>43</v>
      </c>
      <c r="J236" s="134"/>
      <c r="K236" s="182">
        <f t="shared" si="79"/>
        <v>6658.2000000000007</v>
      </c>
      <c r="L236" s="182">
        <f t="shared" si="79"/>
        <v>0</v>
      </c>
      <c r="M236" s="182">
        <f t="shared" si="79"/>
        <v>6658.2000000000007</v>
      </c>
      <c r="N236" s="182">
        <f t="shared" si="79"/>
        <v>6664.0000000000009</v>
      </c>
    </row>
    <row r="237" spans="1:14" s="183" customFormat="1" ht="72" x14ac:dyDescent="0.35">
      <c r="A237" s="178"/>
      <c r="B237" s="653" t="s">
        <v>313</v>
      </c>
      <c r="C237" s="179" t="s">
        <v>434</v>
      </c>
      <c r="D237" s="180" t="s">
        <v>36</v>
      </c>
      <c r="E237" s="180" t="s">
        <v>69</v>
      </c>
      <c r="F237" s="142" t="s">
        <v>40</v>
      </c>
      <c r="G237" s="132" t="s">
        <v>44</v>
      </c>
      <c r="H237" s="132" t="s">
        <v>79</v>
      </c>
      <c r="I237" s="133" t="s">
        <v>43</v>
      </c>
      <c r="J237" s="134"/>
      <c r="K237" s="182">
        <f t="shared" si="79"/>
        <v>6658.2000000000007</v>
      </c>
      <c r="L237" s="182">
        <f t="shared" si="79"/>
        <v>0</v>
      </c>
      <c r="M237" s="182">
        <f t="shared" si="79"/>
        <v>6658.2000000000007</v>
      </c>
      <c r="N237" s="182">
        <f t="shared" si="79"/>
        <v>6664.0000000000009</v>
      </c>
    </row>
    <row r="238" spans="1:14" s="183" customFormat="1" ht="36" x14ac:dyDescent="0.35">
      <c r="A238" s="178"/>
      <c r="B238" s="686" t="s">
        <v>484</v>
      </c>
      <c r="C238" s="179" t="s">
        <v>434</v>
      </c>
      <c r="D238" s="180" t="s">
        <v>36</v>
      </c>
      <c r="E238" s="180" t="s">
        <v>69</v>
      </c>
      <c r="F238" s="142" t="s">
        <v>40</v>
      </c>
      <c r="G238" s="132" t="s">
        <v>44</v>
      </c>
      <c r="H238" s="132" t="s">
        <v>79</v>
      </c>
      <c r="I238" s="133" t="s">
        <v>89</v>
      </c>
      <c r="J238" s="134"/>
      <c r="K238" s="182">
        <f>K239+K240</f>
        <v>6658.2000000000007</v>
      </c>
      <c r="L238" s="182">
        <f t="shared" ref="L238" si="80">L239+L240</f>
        <v>0</v>
      </c>
      <c r="M238" s="182">
        <f>M239+M240</f>
        <v>6658.2000000000007</v>
      </c>
      <c r="N238" s="182">
        <f>N239+N240</f>
        <v>6664.0000000000009</v>
      </c>
    </row>
    <row r="239" spans="1:14" s="183" customFormat="1" ht="108" x14ac:dyDescent="0.35">
      <c r="A239" s="178"/>
      <c r="B239" s="610" t="s">
        <v>48</v>
      </c>
      <c r="C239" s="179" t="s">
        <v>434</v>
      </c>
      <c r="D239" s="180" t="s">
        <v>36</v>
      </c>
      <c r="E239" s="180" t="s">
        <v>69</v>
      </c>
      <c r="F239" s="142" t="s">
        <v>40</v>
      </c>
      <c r="G239" s="132" t="s">
        <v>44</v>
      </c>
      <c r="H239" s="132" t="s">
        <v>79</v>
      </c>
      <c r="I239" s="133" t="s">
        <v>89</v>
      </c>
      <c r="J239" s="134" t="s">
        <v>49</v>
      </c>
      <c r="K239" s="182">
        <f>6135.3+14.6</f>
        <v>6149.9000000000005</v>
      </c>
      <c r="L239" s="69">
        <f>M239-K239</f>
        <v>0</v>
      </c>
      <c r="M239" s="182">
        <f>6135.3+14.6</f>
        <v>6149.9000000000005</v>
      </c>
      <c r="N239" s="182">
        <f>6135.3+14.6</f>
        <v>6149.9000000000005</v>
      </c>
    </row>
    <row r="240" spans="1:14" s="183" customFormat="1" ht="54" x14ac:dyDescent="0.35">
      <c r="A240" s="178"/>
      <c r="B240" s="663" t="s">
        <v>53</v>
      </c>
      <c r="C240" s="179" t="s">
        <v>434</v>
      </c>
      <c r="D240" s="180" t="s">
        <v>36</v>
      </c>
      <c r="E240" s="180" t="s">
        <v>69</v>
      </c>
      <c r="F240" s="142" t="s">
        <v>40</v>
      </c>
      <c r="G240" s="132" t="s">
        <v>44</v>
      </c>
      <c r="H240" s="132" t="s">
        <v>79</v>
      </c>
      <c r="I240" s="133" t="s">
        <v>89</v>
      </c>
      <c r="J240" s="134" t="s">
        <v>54</v>
      </c>
      <c r="K240" s="247">
        <v>508.3</v>
      </c>
      <c r="L240" s="69">
        <f>M240-K240</f>
        <v>0</v>
      </c>
      <c r="M240" s="247">
        <v>508.3</v>
      </c>
      <c r="N240" s="247">
        <v>514.1</v>
      </c>
    </row>
    <row r="241" spans="1:14" s="183" customFormat="1" ht="18" x14ac:dyDescent="0.35">
      <c r="A241" s="178"/>
      <c r="B241" s="674" t="s">
        <v>177</v>
      </c>
      <c r="C241" s="179" t="s">
        <v>434</v>
      </c>
      <c r="D241" s="180" t="s">
        <v>221</v>
      </c>
      <c r="E241" s="180"/>
      <c r="F241" s="131"/>
      <c r="G241" s="132"/>
      <c r="H241" s="132"/>
      <c r="I241" s="153"/>
      <c r="J241" s="134"/>
      <c r="K241" s="69">
        <f>K242+K248</f>
        <v>2859.3</v>
      </c>
      <c r="L241" s="69">
        <f t="shared" ref="L241" si="81">L242+L248</f>
        <v>0</v>
      </c>
      <c r="M241" s="69">
        <f>M242+M248</f>
        <v>2859.3</v>
      </c>
      <c r="N241" s="69">
        <f>N242+N248</f>
        <v>0</v>
      </c>
    </row>
    <row r="242" spans="1:14" s="183" customFormat="1" ht="18" x14ac:dyDescent="0.35">
      <c r="A242" s="178"/>
      <c r="B242" s="674" t="s">
        <v>179</v>
      </c>
      <c r="C242" s="179" t="s">
        <v>434</v>
      </c>
      <c r="D242" s="180" t="s">
        <v>221</v>
      </c>
      <c r="E242" s="180" t="s">
        <v>36</v>
      </c>
      <c r="F242" s="131"/>
      <c r="G242" s="132"/>
      <c r="H242" s="132"/>
      <c r="I242" s="133"/>
      <c r="J242" s="134"/>
      <c r="K242" s="336">
        <f t="shared" ref="K242:N244" si="82">K243</f>
        <v>859.1</v>
      </c>
      <c r="L242" s="336">
        <f t="shared" si="82"/>
        <v>0</v>
      </c>
      <c r="M242" s="336">
        <f t="shared" si="82"/>
        <v>859.1</v>
      </c>
      <c r="N242" s="182">
        <f t="shared" si="82"/>
        <v>0</v>
      </c>
    </row>
    <row r="243" spans="1:14" s="183" customFormat="1" ht="54" x14ac:dyDescent="0.35">
      <c r="A243" s="178"/>
      <c r="B243" s="674" t="s">
        <v>456</v>
      </c>
      <c r="C243" s="179" t="s">
        <v>434</v>
      </c>
      <c r="D243" s="180" t="s">
        <v>221</v>
      </c>
      <c r="E243" s="180" t="s">
        <v>36</v>
      </c>
      <c r="F243" s="131" t="s">
        <v>38</v>
      </c>
      <c r="G243" s="132" t="s">
        <v>41</v>
      </c>
      <c r="H243" s="132" t="s">
        <v>42</v>
      </c>
      <c r="I243" s="133" t="s">
        <v>43</v>
      </c>
      <c r="J243" s="134"/>
      <c r="K243" s="336">
        <f t="shared" si="82"/>
        <v>859.1</v>
      </c>
      <c r="L243" s="336">
        <f t="shared" si="82"/>
        <v>0</v>
      </c>
      <c r="M243" s="336">
        <f t="shared" si="82"/>
        <v>859.1</v>
      </c>
      <c r="N243" s="182">
        <f t="shared" si="82"/>
        <v>0</v>
      </c>
    </row>
    <row r="244" spans="1:14" s="183" customFormat="1" ht="36" x14ac:dyDescent="0.35">
      <c r="A244" s="178"/>
      <c r="B244" s="674" t="s">
        <v>204</v>
      </c>
      <c r="C244" s="179" t="s">
        <v>434</v>
      </c>
      <c r="D244" s="180" t="s">
        <v>221</v>
      </c>
      <c r="E244" s="180" t="s">
        <v>36</v>
      </c>
      <c r="F244" s="131" t="s">
        <v>38</v>
      </c>
      <c r="G244" s="132" t="s">
        <v>44</v>
      </c>
      <c r="H244" s="132" t="s">
        <v>42</v>
      </c>
      <c r="I244" s="133" t="s">
        <v>43</v>
      </c>
      <c r="J244" s="134"/>
      <c r="K244" s="336">
        <f t="shared" si="82"/>
        <v>859.1</v>
      </c>
      <c r="L244" s="336">
        <f t="shared" si="82"/>
        <v>0</v>
      </c>
      <c r="M244" s="336">
        <f t="shared" si="82"/>
        <v>859.1</v>
      </c>
      <c r="N244" s="182">
        <f t="shared" si="82"/>
        <v>0</v>
      </c>
    </row>
    <row r="245" spans="1:14" s="183" customFormat="1" ht="36" x14ac:dyDescent="0.35">
      <c r="A245" s="178"/>
      <c r="B245" s="674" t="s">
        <v>281</v>
      </c>
      <c r="C245" s="179" t="s">
        <v>434</v>
      </c>
      <c r="D245" s="180" t="s">
        <v>221</v>
      </c>
      <c r="E245" s="180" t="s">
        <v>36</v>
      </c>
      <c r="F245" s="131" t="s">
        <v>38</v>
      </c>
      <c r="G245" s="132" t="s">
        <v>44</v>
      </c>
      <c r="H245" s="132" t="s">
        <v>36</v>
      </c>
      <c r="I245" s="153" t="s">
        <v>43</v>
      </c>
      <c r="J245" s="134"/>
      <c r="K245" s="336">
        <f t="shared" ref="K245:N246" si="83">K246</f>
        <v>859.1</v>
      </c>
      <c r="L245" s="336">
        <f t="shared" si="83"/>
        <v>0</v>
      </c>
      <c r="M245" s="336">
        <f t="shared" si="83"/>
        <v>859.1</v>
      </c>
      <c r="N245" s="336">
        <f t="shared" si="83"/>
        <v>0</v>
      </c>
    </row>
    <row r="246" spans="1:14" s="183" customFormat="1" ht="36" x14ac:dyDescent="0.35">
      <c r="A246" s="178"/>
      <c r="B246" s="610" t="s">
        <v>206</v>
      </c>
      <c r="C246" s="179" t="s">
        <v>434</v>
      </c>
      <c r="D246" s="180" t="s">
        <v>221</v>
      </c>
      <c r="E246" s="180" t="s">
        <v>36</v>
      </c>
      <c r="F246" s="131" t="s">
        <v>38</v>
      </c>
      <c r="G246" s="132" t="s">
        <v>44</v>
      </c>
      <c r="H246" s="132" t="s">
        <v>36</v>
      </c>
      <c r="I246" s="153" t="s">
        <v>288</v>
      </c>
      <c r="J246" s="134"/>
      <c r="K246" s="542">
        <f t="shared" si="83"/>
        <v>859.1</v>
      </c>
      <c r="L246" s="542">
        <f t="shared" si="83"/>
        <v>0</v>
      </c>
      <c r="M246" s="542">
        <f t="shared" si="83"/>
        <v>859.1</v>
      </c>
      <c r="N246" s="336">
        <f t="shared" si="83"/>
        <v>0</v>
      </c>
    </row>
    <row r="247" spans="1:14" s="183" customFormat="1" ht="54" x14ac:dyDescent="0.35">
      <c r="A247" s="178"/>
      <c r="B247" s="674" t="s">
        <v>201</v>
      </c>
      <c r="C247" s="179" t="s">
        <v>434</v>
      </c>
      <c r="D247" s="180" t="s">
        <v>221</v>
      </c>
      <c r="E247" s="180" t="s">
        <v>36</v>
      </c>
      <c r="F247" s="131" t="s">
        <v>38</v>
      </c>
      <c r="G247" s="132" t="s">
        <v>44</v>
      </c>
      <c r="H247" s="132" t="s">
        <v>36</v>
      </c>
      <c r="I247" s="153" t="s">
        <v>288</v>
      </c>
      <c r="J247" s="181" t="s">
        <v>202</v>
      </c>
      <c r="K247" s="315">
        <v>859.1</v>
      </c>
      <c r="L247" s="69">
        <f>M247-K247</f>
        <v>0</v>
      </c>
      <c r="M247" s="315">
        <v>859.1</v>
      </c>
      <c r="N247" s="336">
        <v>0</v>
      </c>
    </row>
    <row r="248" spans="1:14" s="183" customFormat="1" ht="18" x14ac:dyDescent="0.35">
      <c r="A248" s="178"/>
      <c r="B248" s="674" t="s">
        <v>181</v>
      </c>
      <c r="C248" s="179" t="s">
        <v>434</v>
      </c>
      <c r="D248" s="180" t="s">
        <v>221</v>
      </c>
      <c r="E248" s="180" t="s">
        <v>38</v>
      </c>
      <c r="F248" s="131"/>
      <c r="G248" s="132"/>
      <c r="H248" s="132"/>
      <c r="I248" s="153"/>
      <c r="J248" s="134"/>
      <c r="K248" s="543">
        <f t="shared" ref="K248:N252" si="84">K249</f>
        <v>2000.2</v>
      </c>
      <c r="L248" s="543">
        <f t="shared" si="84"/>
        <v>0</v>
      </c>
      <c r="M248" s="543">
        <f t="shared" si="84"/>
        <v>2000.2</v>
      </c>
      <c r="N248" s="543">
        <f t="shared" si="84"/>
        <v>0</v>
      </c>
    </row>
    <row r="249" spans="1:14" s="183" customFormat="1" ht="54" x14ac:dyDescent="0.35">
      <c r="A249" s="178"/>
      <c r="B249" s="674" t="s">
        <v>203</v>
      </c>
      <c r="C249" s="179" t="s">
        <v>434</v>
      </c>
      <c r="D249" s="180" t="s">
        <v>221</v>
      </c>
      <c r="E249" s="180" t="s">
        <v>38</v>
      </c>
      <c r="F249" s="131" t="s">
        <v>38</v>
      </c>
      <c r="G249" s="132" t="s">
        <v>41</v>
      </c>
      <c r="H249" s="132" t="s">
        <v>42</v>
      </c>
      <c r="I249" s="133" t="s">
        <v>43</v>
      </c>
      <c r="J249" s="134"/>
      <c r="K249" s="336">
        <f t="shared" si="84"/>
        <v>2000.2</v>
      </c>
      <c r="L249" s="336">
        <f t="shared" si="84"/>
        <v>0</v>
      </c>
      <c r="M249" s="336">
        <f t="shared" si="84"/>
        <v>2000.2</v>
      </c>
      <c r="N249" s="336">
        <f t="shared" si="84"/>
        <v>0</v>
      </c>
    </row>
    <row r="250" spans="1:14" s="183" customFormat="1" ht="36" x14ac:dyDescent="0.35">
      <c r="A250" s="178"/>
      <c r="B250" s="674" t="s">
        <v>204</v>
      </c>
      <c r="C250" s="179" t="s">
        <v>434</v>
      </c>
      <c r="D250" s="180" t="s">
        <v>221</v>
      </c>
      <c r="E250" s="180" t="s">
        <v>38</v>
      </c>
      <c r="F250" s="131" t="s">
        <v>38</v>
      </c>
      <c r="G250" s="132" t="s">
        <v>44</v>
      </c>
      <c r="H250" s="132" t="s">
        <v>42</v>
      </c>
      <c r="I250" s="133" t="s">
        <v>43</v>
      </c>
      <c r="J250" s="134"/>
      <c r="K250" s="336">
        <f t="shared" si="84"/>
        <v>2000.2</v>
      </c>
      <c r="L250" s="336">
        <f t="shared" si="84"/>
        <v>0</v>
      </c>
      <c r="M250" s="336">
        <f t="shared" si="84"/>
        <v>2000.2</v>
      </c>
      <c r="N250" s="336">
        <f t="shared" si="84"/>
        <v>0</v>
      </c>
    </row>
    <row r="251" spans="1:14" s="183" customFormat="1" ht="18" x14ac:dyDescent="0.35">
      <c r="A251" s="178"/>
      <c r="B251" s="674" t="s">
        <v>286</v>
      </c>
      <c r="C251" s="179" t="s">
        <v>434</v>
      </c>
      <c r="D251" s="180" t="s">
        <v>221</v>
      </c>
      <c r="E251" s="180" t="s">
        <v>38</v>
      </c>
      <c r="F251" s="131" t="s">
        <v>38</v>
      </c>
      <c r="G251" s="132" t="s">
        <v>44</v>
      </c>
      <c r="H251" s="132" t="s">
        <v>38</v>
      </c>
      <c r="I251" s="133" t="s">
        <v>43</v>
      </c>
      <c r="J251" s="134"/>
      <c r="K251" s="336">
        <f>K252</f>
        <v>2000.2</v>
      </c>
      <c r="L251" s="336">
        <f t="shared" si="84"/>
        <v>0</v>
      </c>
      <c r="M251" s="336">
        <f>M252</f>
        <v>2000.2</v>
      </c>
      <c r="N251" s="336">
        <f>N252</f>
        <v>0</v>
      </c>
    </row>
    <row r="252" spans="1:14" s="183" customFormat="1" ht="36" x14ac:dyDescent="0.35">
      <c r="A252" s="178"/>
      <c r="B252" s="674" t="s">
        <v>206</v>
      </c>
      <c r="C252" s="179" t="s">
        <v>434</v>
      </c>
      <c r="D252" s="180" t="s">
        <v>221</v>
      </c>
      <c r="E252" s="180" t="s">
        <v>38</v>
      </c>
      <c r="F252" s="131" t="s">
        <v>38</v>
      </c>
      <c r="G252" s="132" t="s">
        <v>44</v>
      </c>
      <c r="H252" s="132" t="s">
        <v>38</v>
      </c>
      <c r="I252" s="133" t="s">
        <v>288</v>
      </c>
      <c r="J252" s="134"/>
      <c r="K252" s="336">
        <f t="shared" si="84"/>
        <v>2000.2</v>
      </c>
      <c r="L252" s="336">
        <f t="shared" si="84"/>
        <v>0</v>
      </c>
      <c r="M252" s="336">
        <f t="shared" si="84"/>
        <v>2000.2</v>
      </c>
      <c r="N252" s="336">
        <f t="shared" si="84"/>
        <v>0</v>
      </c>
    </row>
    <row r="253" spans="1:14" s="183" customFormat="1" ht="54" x14ac:dyDescent="0.35">
      <c r="A253" s="178"/>
      <c r="B253" s="674" t="s">
        <v>201</v>
      </c>
      <c r="C253" s="179" t="s">
        <v>434</v>
      </c>
      <c r="D253" s="180" t="s">
        <v>221</v>
      </c>
      <c r="E253" s="180" t="s">
        <v>38</v>
      </c>
      <c r="F253" s="131" t="s">
        <v>38</v>
      </c>
      <c r="G253" s="132" t="s">
        <v>44</v>
      </c>
      <c r="H253" s="132" t="s">
        <v>38</v>
      </c>
      <c r="I253" s="133" t="s">
        <v>288</v>
      </c>
      <c r="J253" s="134" t="s">
        <v>202</v>
      </c>
      <c r="K253" s="336">
        <v>2000.2</v>
      </c>
      <c r="L253" s="69">
        <f>M253-K253</f>
        <v>0</v>
      </c>
      <c r="M253" s="336">
        <v>2000.2</v>
      </c>
      <c r="N253" s="182">
        <v>0</v>
      </c>
    </row>
    <row r="254" spans="1:14" s="191" customFormat="1" ht="18" x14ac:dyDescent="0.35">
      <c r="A254" s="189"/>
      <c r="B254" s="675" t="s">
        <v>117</v>
      </c>
      <c r="C254" s="190" t="s">
        <v>434</v>
      </c>
      <c r="D254" s="152" t="s">
        <v>102</v>
      </c>
      <c r="E254" s="152"/>
      <c r="F254" s="149"/>
      <c r="G254" s="150"/>
      <c r="H254" s="150"/>
      <c r="I254" s="151"/>
      <c r="J254" s="152"/>
      <c r="K254" s="182">
        <f>K255</f>
        <v>39369.829380000003</v>
      </c>
      <c r="L254" s="182">
        <f t="shared" ref="L254" si="85">L255</f>
        <v>22497.045320000005</v>
      </c>
      <c r="M254" s="182">
        <f>M255</f>
        <v>61866.874700000008</v>
      </c>
      <c r="N254" s="182">
        <f>N255</f>
        <v>59054.794099999999</v>
      </c>
    </row>
    <row r="255" spans="1:14" s="191" customFormat="1" ht="18" x14ac:dyDescent="0.35">
      <c r="A255" s="189"/>
      <c r="B255" s="663" t="s">
        <v>191</v>
      </c>
      <c r="C255" s="190" t="s">
        <v>434</v>
      </c>
      <c r="D255" s="152" t="s">
        <v>102</v>
      </c>
      <c r="E255" s="152" t="s">
        <v>50</v>
      </c>
      <c r="F255" s="149"/>
      <c r="G255" s="150"/>
      <c r="H255" s="150"/>
      <c r="I255" s="151"/>
      <c r="J255" s="152"/>
      <c r="K255" s="182">
        <f t="shared" ref="K255:N257" si="86">K256</f>
        <v>39369.829380000003</v>
      </c>
      <c r="L255" s="182">
        <f t="shared" si="86"/>
        <v>22497.045320000005</v>
      </c>
      <c r="M255" s="182">
        <f t="shared" si="86"/>
        <v>61866.874700000008</v>
      </c>
      <c r="N255" s="182">
        <f t="shared" si="86"/>
        <v>59054.794099999999</v>
      </c>
    </row>
    <row r="256" spans="1:14" s="191" customFormat="1" ht="54" x14ac:dyDescent="0.35">
      <c r="A256" s="189"/>
      <c r="B256" s="671" t="s">
        <v>227</v>
      </c>
      <c r="C256" s="190" t="s">
        <v>434</v>
      </c>
      <c r="D256" s="152" t="s">
        <v>102</v>
      </c>
      <c r="E256" s="152" t="s">
        <v>50</v>
      </c>
      <c r="F256" s="149" t="s">
        <v>77</v>
      </c>
      <c r="G256" s="150" t="s">
        <v>41</v>
      </c>
      <c r="H256" s="150" t="s">
        <v>42</v>
      </c>
      <c r="I256" s="151" t="s">
        <v>43</v>
      </c>
      <c r="J256" s="152"/>
      <c r="K256" s="182">
        <f t="shared" si="86"/>
        <v>39369.829380000003</v>
      </c>
      <c r="L256" s="182">
        <f t="shared" si="86"/>
        <v>22497.045320000005</v>
      </c>
      <c r="M256" s="182">
        <f t="shared" si="86"/>
        <v>61866.874700000008</v>
      </c>
      <c r="N256" s="182">
        <f t="shared" si="86"/>
        <v>59054.794099999999</v>
      </c>
    </row>
    <row r="257" spans="1:19" s="191" customFormat="1" ht="36" x14ac:dyDescent="0.35">
      <c r="A257" s="189"/>
      <c r="B257" s="663" t="s">
        <v>359</v>
      </c>
      <c r="C257" s="190" t="s">
        <v>434</v>
      </c>
      <c r="D257" s="152" t="s">
        <v>102</v>
      </c>
      <c r="E257" s="152" t="s">
        <v>50</v>
      </c>
      <c r="F257" s="149" t="s">
        <v>77</v>
      </c>
      <c r="G257" s="150" t="s">
        <v>44</v>
      </c>
      <c r="H257" s="150" t="s">
        <v>42</v>
      </c>
      <c r="I257" s="151" t="s">
        <v>43</v>
      </c>
      <c r="J257" s="152"/>
      <c r="K257" s="182">
        <f t="shared" si="86"/>
        <v>39369.829380000003</v>
      </c>
      <c r="L257" s="182">
        <f t="shared" si="86"/>
        <v>22497.045320000005</v>
      </c>
      <c r="M257" s="182">
        <f t="shared" si="86"/>
        <v>61866.874700000008</v>
      </c>
      <c r="N257" s="182">
        <f t="shared" si="86"/>
        <v>59054.794099999999</v>
      </c>
    </row>
    <row r="258" spans="1:19" s="192" customFormat="1" ht="90" x14ac:dyDescent="0.35">
      <c r="A258" s="189"/>
      <c r="B258" s="663" t="s">
        <v>314</v>
      </c>
      <c r="C258" s="190" t="s">
        <v>434</v>
      </c>
      <c r="D258" s="152" t="s">
        <v>102</v>
      </c>
      <c r="E258" s="152" t="s">
        <v>50</v>
      </c>
      <c r="F258" s="149" t="s">
        <v>77</v>
      </c>
      <c r="G258" s="150" t="s">
        <v>44</v>
      </c>
      <c r="H258" s="150" t="s">
        <v>38</v>
      </c>
      <c r="I258" s="151" t="s">
        <v>43</v>
      </c>
      <c r="J258" s="152"/>
      <c r="K258" s="182">
        <f>K259+K261</f>
        <v>39369.829380000003</v>
      </c>
      <c r="L258" s="182">
        <f t="shared" ref="L258" si="87">L259+L261</f>
        <v>22497.045320000005</v>
      </c>
      <c r="M258" s="182">
        <f>M259+M261</f>
        <v>61866.874700000008</v>
      </c>
      <c r="N258" s="182">
        <f>N259+N261</f>
        <v>59054.794099999999</v>
      </c>
    </row>
    <row r="259" spans="1:19" s="183" customFormat="1" ht="108" x14ac:dyDescent="0.35">
      <c r="A259" s="178"/>
      <c r="B259" s="653" t="s">
        <v>756</v>
      </c>
      <c r="C259" s="179" t="s">
        <v>434</v>
      </c>
      <c r="D259" s="180" t="s">
        <v>102</v>
      </c>
      <c r="E259" s="180" t="s">
        <v>50</v>
      </c>
      <c r="F259" s="131" t="s">
        <v>77</v>
      </c>
      <c r="G259" s="132" t="s">
        <v>44</v>
      </c>
      <c r="H259" s="132" t="s">
        <v>38</v>
      </c>
      <c r="I259" s="153" t="s">
        <v>665</v>
      </c>
      <c r="J259" s="134"/>
      <c r="K259" s="182">
        <f>K260</f>
        <v>30933.429380000001</v>
      </c>
      <c r="L259" s="182">
        <f t="shared" ref="L259" si="88">L260</f>
        <v>22497.045320000005</v>
      </c>
      <c r="M259" s="182">
        <f>M260</f>
        <v>53430.474700000006</v>
      </c>
      <c r="N259" s="182">
        <f>N260</f>
        <v>50618.394099999998</v>
      </c>
    </row>
    <row r="260" spans="1:19" s="183" customFormat="1" ht="54" x14ac:dyDescent="0.35">
      <c r="A260" s="178"/>
      <c r="B260" s="653" t="s">
        <v>201</v>
      </c>
      <c r="C260" s="179" t="s">
        <v>434</v>
      </c>
      <c r="D260" s="180" t="s">
        <v>102</v>
      </c>
      <c r="E260" s="180" t="s">
        <v>50</v>
      </c>
      <c r="F260" s="131" t="s">
        <v>77</v>
      </c>
      <c r="G260" s="132" t="s">
        <v>44</v>
      </c>
      <c r="H260" s="132" t="s">
        <v>38</v>
      </c>
      <c r="I260" s="153" t="s">
        <v>665</v>
      </c>
      <c r="J260" s="134" t="s">
        <v>202</v>
      </c>
      <c r="K260" s="247">
        <v>30933.429380000001</v>
      </c>
      <c r="L260" s="69">
        <f>M260-K260</f>
        <v>22497.045320000005</v>
      </c>
      <c r="M260" s="247">
        <f>30933.42938+22497.04532</f>
        <v>53430.474700000006</v>
      </c>
      <c r="N260" s="247">
        <f>28121.34871+22497.04539</f>
        <v>50618.394099999998</v>
      </c>
    </row>
    <row r="261" spans="1:19" s="183" customFormat="1" ht="108" x14ac:dyDescent="0.35">
      <c r="A261" s="178"/>
      <c r="B261" s="653" t="s">
        <v>756</v>
      </c>
      <c r="C261" s="179" t="s">
        <v>434</v>
      </c>
      <c r="D261" s="180" t="s">
        <v>102</v>
      </c>
      <c r="E261" s="180" t="s">
        <v>50</v>
      </c>
      <c r="F261" s="131" t="s">
        <v>77</v>
      </c>
      <c r="G261" s="132" t="s">
        <v>44</v>
      </c>
      <c r="H261" s="132" t="s">
        <v>38</v>
      </c>
      <c r="I261" s="153" t="s">
        <v>562</v>
      </c>
      <c r="J261" s="181"/>
      <c r="K261" s="315">
        <f>K262</f>
        <v>8436.4</v>
      </c>
      <c r="L261" s="315">
        <f t="shared" ref="L261" si="89">L262</f>
        <v>0</v>
      </c>
      <c r="M261" s="315">
        <f>M262</f>
        <v>8436.4</v>
      </c>
      <c r="N261" s="315">
        <f>N262</f>
        <v>8436.4</v>
      </c>
    </row>
    <row r="262" spans="1:19" s="183" customFormat="1" ht="54" x14ac:dyDescent="0.35">
      <c r="A262" s="724"/>
      <c r="B262" s="616" t="s">
        <v>201</v>
      </c>
      <c r="C262" s="224" t="s">
        <v>434</v>
      </c>
      <c r="D262" s="339" t="s">
        <v>102</v>
      </c>
      <c r="E262" s="339" t="s">
        <v>50</v>
      </c>
      <c r="F262" s="131" t="s">
        <v>77</v>
      </c>
      <c r="G262" s="132" t="s">
        <v>44</v>
      </c>
      <c r="H262" s="132" t="s">
        <v>38</v>
      </c>
      <c r="I262" s="153" t="s">
        <v>562</v>
      </c>
      <c r="J262" s="729" t="s">
        <v>202</v>
      </c>
      <c r="K262" s="315">
        <v>8436.4</v>
      </c>
      <c r="L262" s="69">
        <f>M262-K262</f>
        <v>0</v>
      </c>
      <c r="M262" s="315">
        <v>8436.4</v>
      </c>
      <c r="N262" s="315">
        <v>8436.4</v>
      </c>
    </row>
    <row r="263" spans="1:19" s="169" customFormat="1" ht="18" x14ac:dyDescent="0.35">
      <c r="A263" s="56"/>
      <c r="B263" s="610"/>
      <c r="C263" s="68"/>
      <c r="D263" s="55"/>
      <c r="E263" s="55"/>
      <c r="F263" s="799"/>
      <c r="G263" s="800"/>
      <c r="H263" s="800"/>
      <c r="I263" s="801"/>
      <c r="J263" s="55"/>
      <c r="K263" s="69"/>
      <c r="L263" s="69"/>
      <c r="M263" s="69"/>
      <c r="N263" s="69"/>
    </row>
    <row r="264" spans="1:19" s="167" customFormat="1" ht="52.2" x14ac:dyDescent="0.3">
      <c r="A264" s="162">
        <v>5</v>
      </c>
      <c r="B264" s="656" t="s">
        <v>7</v>
      </c>
      <c r="C264" s="63" t="s">
        <v>443</v>
      </c>
      <c r="D264" s="64"/>
      <c r="E264" s="64"/>
      <c r="F264" s="65"/>
      <c r="G264" s="66"/>
      <c r="H264" s="66"/>
      <c r="I264" s="67"/>
      <c r="J264" s="64"/>
      <c r="K264" s="77">
        <f>K278+K373+K265+K381</f>
        <v>1406917.4999999998</v>
      </c>
      <c r="L264" s="77">
        <f>L278+L373+L265+L381</f>
        <v>0</v>
      </c>
      <c r="M264" s="77">
        <f>M278+M373+M265+M381</f>
        <v>1406917.4999999998</v>
      </c>
      <c r="N264" s="77">
        <f>N278+N373+N265+N381</f>
        <v>1439497.2</v>
      </c>
      <c r="O264" s="193"/>
      <c r="Q264" s="193"/>
      <c r="S264" s="193"/>
    </row>
    <row r="265" spans="1:19" s="167" customFormat="1" ht="18" x14ac:dyDescent="0.35">
      <c r="A265" s="162"/>
      <c r="B265" s="612" t="s">
        <v>35</v>
      </c>
      <c r="C265" s="299" t="s">
        <v>443</v>
      </c>
      <c r="D265" s="297" t="s">
        <v>36</v>
      </c>
      <c r="E265" s="130"/>
      <c r="F265" s="300"/>
      <c r="G265" s="136"/>
      <c r="H265" s="136"/>
      <c r="I265" s="137"/>
      <c r="J265" s="130"/>
      <c r="K265" s="261">
        <f t="shared" ref="K265:M267" si="90">K266</f>
        <v>654.29999999999995</v>
      </c>
      <c r="L265" s="261">
        <f t="shared" si="90"/>
        <v>0</v>
      </c>
      <c r="M265" s="261">
        <f t="shared" si="90"/>
        <v>654.29999999999995</v>
      </c>
      <c r="N265" s="261">
        <f>N266</f>
        <v>653.70000000000005</v>
      </c>
      <c r="O265" s="193"/>
    </row>
    <row r="266" spans="1:19" s="167" customFormat="1" ht="18" x14ac:dyDescent="0.35">
      <c r="A266" s="162"/>
      <c r="B266" s="612" t="s">
        <v>68</v>
      </c>
      <c r="C266" s="301" t="s">
        <v>443</v>
      </c>
      <c r="D266" s="297" t="s">
        <v>36</v>
      </c>
      <c r="E266" s="297" t="s">
        <v>69</v>
      </c>
      <c r="F266" s="300"/>
      <c r="G266" s="136"/>
      <c r="H266" s="136"/>
      <c r="I266" s="137"/>
      <c r="J266" s="130"/>
      <c r="K266" s="261">
        <f t="shared" si="90"/>
        <v>654.29999999999995</v>
      </c>
      <c r="L266" s="261">
        <f t="shared" si="90"/>
        <v>0</v>
      </c>
      <c r="M266" s="261">
        <f t="shared" si="90"/>
        <v>654.29999999999995</v>
      </c>
      <c r="N266" s="261">
        <f>N267</f>
        <v>653.70000000000005</v>
      </c>
      <c r="O266" s="193"/>
    </row>
    <row r="267" spans="1:19" s="167" customFormat="1" ht="54" x14ac:dyDescent="0.35">
      <c r="A267" s="162"/>
      <c r="B267" s="612" t="s">
        <v>203</v>
      </c>
      <c r="C267" s="299" t="s">
        <v>443</v>
      </c>
      <c r="D267" s="297" t="s">
        <v>36</v>
      </c>
      <c r="E267" s="297" t="s">
        <v>69</v>
      </c>
      <c r="F267" s="792" t="s">
        <v>38</v>
      </c>
      <c r="G267" s="793" t="s">
        <v>41</v>
      </c>
      <c r="H267" s="793" t="s">
        <v>42</v>
      </c>
      <c r="I267" s="794" t="s">
        <v>43</v>
      </c>
      <c r="J267" s="297"/>
      <c r="K267" s="261">
        <f>K268</f>
        <v>654.29999999999995</v>
      </c>
      <c r="L267" s="261">
        <f t="shared" si="90"/>
        <v>0</v>
      </c>
      <c r="M267" s="261">
        <f>M268</f>
        <v>654.29999999999995</v>
      </c>
      <c r="N267" s="261">
        <f>N268</f>
        <v>653.70000000000005</v>
      </c>
      <c r="O267" s="193"/>
    </row>
    <row r="268" spans="1:19" s="167" customFormat="1" ht="54" x14ac:dyDescent="0.35">
      <c r="A268" s="162"/>
      <c r="B268" s="676" t="s">
        <v>210</v>
      </c>
      <c r="C268" s="299" t="s">
        <v>443</v>
      </c>
      <c r="D268" s="297" t="s">
        <v>36</v>
      </c>
      <c r="E268" s="297" t="s">
        <v>69</v>
      </c>
      <c r="F268" s="792" t="s">
        <v>38</v>
      </c>
      <c r="G268" s="793" t="s">
        <v>29</v>
      </c>
      <c r="H268" s="793" t="s">
        <v>42</v>
      </c>
      <c r="I268" s="794" t="s">
        <v>43</v>
      </c>
      <c r="J268" s="297"/>
      <c r="K268" s="261">
        <f>K269+K272+K275</f>
        <v>654.29999999999995</v>
      </c>
      <c r="L268" s="261">
        <f t="shared" ref="L268" si="91">L269+L272+L275</f>
        <v>0</v>
      </c>
      <c r="M268" s="261">
        <f>M269+M272+M275</f>
        <v>654.29999999999995</v>
      </c>
      <c r="N268" s="261">
        <f>N269+N272+N275</f>
        <v>653.70000000000005</v>
      </c>
      <c r="O268" s="193"/>
    </row>
    <row r="269" spans="1:19" s="167" customFormat="1" ht="36" x14ac:dyDescent="0.35">
      <c r="A269" s="162"/>
      <c r="B269" s="612" t="s">
        <v>371</v>
      </c>
      <c r="C269" s="299" t="s">
        <v>443</v>
      </c>
      <c r="D269" s="297" t="s">
        <v>36</v>
      </c>
      <c r="E269" s="297" t="s">
        <v>69</v>
      </c>
      <c r="F269" s="792" t="s">
        <v>38</v>
      </c>
      <c r="G269" s="793" t="s">
        <v>29</v>
      </c>
      <c r="H269" s="793" t="s">
        <v>61</v>
      </c>
      <c r="I269" s="794" t="s">
        <v>43</v>
      </c>
      <c r="J269" s="297"/>
      <c r="K269" s="261">
        <f t="shared" ref="K269:N270" si="92">K270</f>
        <v>515.5</v>
      </c>
      <c r="L269" s="261">
        <f t="shared" si="92"/>
        <v>0</v>
      </c>
      <c r="M269" s="261">
        <f t="shared" si="92"/>
        <v>515.5</v>
      </c>
      <c r="N269" s="261">
        <f t="shared" si="92"/>
        <v>515.5</v>
      </c>
      <c r="O269" s="193"/>
    </row>
    <row r="270" spans="1:19" s="167" customFormat="1" ht="54" x14ac:dyDescent="0.35">
      <c r="A270" s="162"/>
      <c r="B270" s="676" t="s">
        <v>492</v>
      </c>
      <c r="C270" s="301" t="s">
        <v>443</v>
      </c>
      <c r="D270" s="297" t="s">
        <v>36</v>
      </c>
      <c r="E270" s="297" t="s">
        <v>69</v>
      </c>
      <c r="F270" s="792" t="s">
        <v>38</v>
      </c>
      <c r="G270" s="793" t="s">
        <v>29</v>
      </c>
      <c r="H270" s="793" t="s">
        <v>61</v>
      </c>
      <c r="I270" s="794" t="s">
        <v>103</v>
      </c>
      <c r="J270" s="297"/>
      <c r="K270" s="261">
        <f t="shared" si="92"/>
        <v>515.5</v>
      </c>
      <c r="L270" s="261">
        <f t="shared" si="92"/>
        <v>0</v>
      </c>
      <c r="M270" s="261">
        <f t="shared" si="92"/>
        <v>515.5</v>
      </c>
      <c r="N270" s="261">
        <f t="shared" si="92"/>
        <v>515.5</v>
      </c>
      <c r="O270" s="193"/>
    </row>
    <row r="271" spans="1:19" s="167" customFormat="1" ht="54" x14ac:dyDescent="0.35">
      <c r="A271" s="162"/>
      <c r="B271" s="676" t="s">
        <v>53</v>
      </c>
      <c r="C271" s="301" t="s">
        <v>443</v>
      </c>
      <c r="D271" s="297" t="s">
        <v>36</v>
      </c>
      <c r="E271" s="297" t="s">
        <v>69</v>
      </c>
      <c r="F271" s="792" t="s">
        <v>38</v>
      </c>
      <c r="G271" s="793" t="s">
        <v>29</v>
      </c>
      <c r="H271" s="793" t="s">
        <v>61</v>
      </c>
      <c r="I271" s="794" t="s">
        <v>103</v>
      </c>
      <c r="J271" s="297" t="s">
        <v>54</v>
      </c>
      <c r="K271" s="261">
        <v>515.5</v>
      </c>
      <c r="L271" s="69">
        <f>M271-K271</f>
        <v>0</v>
      </c>
      <c r="M271" s="261">
        <v>515.5</v>
      </c>
      <c r="N271" s="261">
        <v>515.5</v>
      </c>
      <c r="O271" s="193"/>
    </row>
    <row r="272" spans="1:19" s="167" customFormat="1" ht="36" x14ac:dyDescent="0.35">
      <c r="A272" s="162"/>
      <c r="B272" s="676" t="s">
        <v>488</v>
      </c>
      <c r="C272" s="299" t="s">
        <v>443</v>
      </c>
      <c r="D272" s="297" t="s">
        <v>36</v>
      </c>
      <c r="E272" s="297" t="s">
        <v>69</v>
      </c>
      <c r="F272" s="792" t="s">
        <v>38</v>
      </c>
      <c r="G272" s="793" t="s">
        <v>29</v>
      </c>
      <c r="H272" s="793" t="s">
        <v>50</v>
      </c>
      <c r="I272" s="794" t="s">
        <v>43</v>
      </c>
      <c r="J272" s="297"/>
      <c r="K272" s="261">
        <f t="shared" ref="K272:N273" si="93">K273</f>
        <v>24</v>
      </c>
      <c r="L272" s="261">
        <f t="shared" si="93"/>
        <v>0</v>
      </c>
      <c r="M272" s="261">
        <f t="shared" si="93"/>
        <v>24</v>
      </c>
      <c r="N272" s="261">
        <f t="shared" si="93"/>
        <v>24</v>
      </c>
      <c r="O272" s="193"/>
    </row>
    <row r="273" spans="1:15" s="167" customFormat="1" ht="18" x14ac:dyDescent="0.35">
      <c r="A273" s="162"/>
      <c r="B273" s="676" t="s">
        <v>493</v>
      </c>
      <c r="C273" s="301" t="s">
        <v>443</v>
      </c>
      <c r="D273" s="297" t="s">
        <v>36</v>
      </c>
      <c r="E273" s="297" t="s">
        <v>69</v>
      </c>
      <c r="F273" s="792" t="s">
        <v>38</v>
      </c>
      <c r="G273" s="793" t="s">
        <v>29</v>
      </c>
      <c r="H273" s="793" t="s">
        <v>50</v>
      </c>
      <c r="I273" s="794" t="s">
        <v>487</v>
      </c>
      <c r="J273" s="297"/>
      <c r="K273" s="261">
        <f t="shared" si="93"/>
        <v>24</v>
      </c>
      <c r="L273" s="261">
        <f t="shared" si="93"/>
        <v>0</v>
      </c>
      <c r="M273" s="261">
        <f t="shared" si="93"/>
        <v>24</v>
      </c>
      <c r="N273" s="261">
        <f t="shared" si="93"/>
        <v>24</v>
      </c>
      <c r="O273" s="193"/>
    </row>
    <row r="274" spans="1:15" s="167" customFormat="1" ht="54" x14ac:dyDescent="0.35">
      <c r="A274" s="162"/>
      <c r="B274" s="676" t="s">
        <v>53</v>
      </c>
      <c r="C274" s="301" t="s">
        <v>443</v>
      </c>
      <c r="D274" s="297" t="s">
        <v>36</v>
      </c>
      <c r="E274" s="297" t="s">
        <v>69</v>
      </c>
      <c r="F274" s="792" t="s">
        <v>38</v>
      </c>
      <c r="G274" s="793" t="s">
        <v>29</v>
      </c>
      <c r="H274" s="793" t="s">
        <v>50</v>
      </c>
      <c r="I274" s="794" t="s">
        <v>487</v>
      </c>
      <c r="J274" s="297" t="s">
        <v>54</v>
      </c>
      <c r="K274" s="261">
        <v>24</v>
      </c>
      <c r="L274" s="69">
        <f>M274-K274</f>
        <v>0</v>
      </c>
      <c r="M274" s="261">
        <v>24</v>
      </c>
      <c r="N274" s="261">
        <v>24</v>
      </c>
      <c r="O274" s="193"/>
    </row>
    <row r="275" spans="1:15" s="167" customFormat="1" ht="36" x14ac:dyDescent="0.35">
      <c r="A275" s="162"/>
      <c r="B275" s="676" t="s">
        <v>491</v>
      </c>
      <c r="C275" s="301" t="s">
        <v>443</v>
      </c>
      <c r="D275" s="297" t="s">
        <v>36</v>
      </c>
      <c r="E275" s="297" t="s">
        <v>69</v>
      </c>
      <c r="F275" s="792" t="s">
        <v>38</v>
      </c>
      <c r="G275" s="793" t="s">
        <v>29</v>
      </c>
      <c r="H275" s="793" t="s">
        <v>63</v>
      </c>
      <c r="I275" s="502" t="s">
        <v>43</v>
      </c>
      <c r="J275" s="128"/>
      <c r="K275" s="261">
        <f t="shared" ref="K275:N276" si="94">K276</f>
        <v>114.8</v>
      </c>
      <c r="L275" s="261">
        <f t="shared" si="94"/>
        <v>0</v>
      </c>
      <c r="M275" s="261">
        <f t="shared" si="94"/>
        <v>114.8</v>
      </c>
      <c r="N275" s="261">
        <f t="shared" si="94"/>
        <v>114.2</v>
      </c>
      <c r="O275" s="193"/>
    </row>
    <row r="276" spans="1:15" s="167" customFormat="1" ht="36" x14ac:dyDescent="0.35">
      <c r="A276" s="162"/>
      <c r="B276" s="676" t="s">
        <v>125</v>
      </c>
      <c r="C276" s="301" t="s">
        <v>443</v>
      </c>
      <c r="D276" s="297" t="s">
        <v>36</v>
      </c>
      <c r="E276" s="297" t="s">
        <v>69</v>
      </c>
      <c r="F276" s="792" t="s">
        <v>38</v>
      </c>
      <c r="G276" s="793" t="s">
        <v>29</v>
      </c>
      <c r="H276" s="793" t="s">
        <v>63</v>
      </c>
      <c r="I276" s="502" t="s">
        <v>88</v>
      </c>
      <c r="J276" s="128"/>
      <c r="K276" s="261">
        <f t="shared" si="94"/>
        <v>114.8</v>
      </c>
      <c r="L276" s="261">
        <f t="shared" si="94"/>
        <v>0</v>
      </c>
      <c r="M276" s="261">
        <f t="shared" si="94"/>
        <v>114.8</v>
      </c>
      <c r="N276" s="261">
        <f t="shared" si="94"/>
        <v>114.2</v>
      </c>
      <c r="O276" s="193"/>
    </row>
    <row r="277" spans="1:15" s="167" customFormat="1" ht="54" x14ac:dyDescent="0.35">
      <c r="A277" s="162"/>
      <c r="B277" s="676" t="s">
        <v>53</v>
      </c>
      <c r="C277" s="301" t="s">
        <v>443</v>
      </c>
      <c r="D277" s="297" t="s">
        <v>36</v>
      </c>
      <c r="E277" s="297" t="s">
        <v>69</v>
      </c>
      <c r="F277" s="792" t="s">
        <v>38</v>
      </c>
      <c r="G277" s="793" t="s">
        <v>29</v>
      </c>
      <c r="H277" s="793" t="s">
        <v>63</v>
      </c>
      <c r="I277" s="502" t="s">
        <v>88</v>
      </c>
      <c r="J277" s="128" t="s">
        <v>54</v>
      </c>
      <c r="K277" s="261">
        <v>114.8</v>
      </c>
      <c r="L277" s="69">
        <f>M277-K277</f>
        <v>0</v>
      </c>
      <c r="M277" s="261">
        <v>114.8</v>
      </c>
      <c r="N277" s="261">
        <v>114.2</v>
      </c>
      <c r="O277" s="193"/>
    </row>
    <row r="278" spans="1:15" s="168" customFormat="1" ht="18" x14ac:dyDescent="0.35">
      <c r="A278" s="56"/>
      <c r="B278" s="610" t="s">
        <v>177</v>
      </c>
      <c r="C278" s="68" t="s">
        <v>443</v>
      </c>
      <c r="D278" s="55" t="s">
        <v>221</v>
      </c>
      <c r="E278" s="55"/>
      <c r="F278" s="799"/>
      <c r="G278" s="800"/>
      <c r="H278" s="800"/>
      <c r="I278" s="801"/>
      <c r="J278" s="55"/>
      <c r="K278" s="69">
        <f>K279+K291+K354+K337</f>
        <v>1377711.5999999999</v>
      </c>
      <c r="L278" s="69">
        <f>L279+L291+L354+L337</f>
        <v>0</v>
      </c>
      <c r="M278" s="69">
        <f>M279+M291+M354+M337</f>
        <v>1377711.5999999999</v>
      </c>
      <c r="N278" s="69">
        <f>N279+N291+N354+N337</f>
        <v>1410542.3</v>
      </c>
      <c r="O278" s="194"/>
    </row>
    <row r="279" spans="1:15" s="167" customFormat="1" ht="18" x14ac:dyDescent="0.35">
      <c r="A279" s="56"/>
      <c r="B279" s="610" t="s">
        <v>179</v>
      </c>
      <c r="C279" s="68" t="s">
        <v>443</v>
      </c>
      <c r="D279" s="55" t="s">
        <v>221</v>
      </c>
      <c r="E279" s="55" t="s">
        <v>36</v>
      </c>
      <c r="F279" s="799"/>
      <c r="G279" s="800"/>
      <c r="H279" s="800"/>
      <c r="I279" s="801"/>
      <c r="J279" s="55"/>
      <c r="K279" s="69">
        <f>K280</f>
        <v>437228.6</v>
      </c>
      <c r="L279" s="69">
        <f t="shared" ref="L279" si="95">L280</f>
        <v>0</v>
      </c>
      <c r="M279" s="69">
        <f>M280</f>
        <v>437228.6</v>
      </c>
      <c r="N279" s="69">
        <f>N280</f>
        <v>448407.1</v>
      </c>
    </row>
    <row r="280" spans="1:15" s="167" customFormat="1" ht="54" x14ac:dyDescent="0.35">
      <c r="A280" s="56"/>
      <c r="B280" s="610" t="s">
        <v>203</v>
      </c>
      <c r="C280" s="68" t="s">
        <v>443</v>
      </c>
      <c r="D280" s="55" t="s">
        <v>221</v>
      </c>
      <c r="E280" s="55" t="s">
        <v>36</v>
      </c>
      <c r="F280" s="799" t="s">
        <v>38</v>
      </c>
      <c r="G280" s="800" t="s">
        <v>41</v>
      </c>
      <c r="H280" s="800" t="s">
        <v>42</v>
      </c>
      <c r="I280" s="801" t="s">
        <v>43</v>
      </c>
      <c r="J280" s="55"/>
      <c r="K280" s="69">
        <f t="shared" ref="K280:N281" si="96">K281</f>
        <v>437228.6</v>
      </c>
      <c r="L280" s="69">
        <f t="shared" si="96"/>
        <v>0</v>
      </c>
      <c r="M280" s="69">
        <f t="shared" si="96"/>
        <v>437228.6</v>
      </c>
      <c r="N280" s="69">
        <f t="shared" si="96"/>
        <v>448407.1</v>
      </c>
    </row>
    <row r="281" spans="1:15" s="167" customFormat="1" ht="36" x14ac:dyDescent="0.35">
      <c r="A281" s="56"/>
      <c r="B281" s="610" t="s">
        <v>204</v>
      </c>
      <c r="C281" s="68" t="s">
        <v>443</v>
      </c>
      <c r="D281" s="55" t="s">
        <v>221</v>
      </c>
      <c r="E281" s="55" t="s">
        <v>36</v>
      </c>
      <c r="F281" s="799" t="s">
        <v>38</v>
      </c>
      <c r="G281" s="800" t="s">
        <v>44</v>
      </c>
      <c r="H281" s="800" t="s">
        <v>42</v>
      </c>
      <c r="I281" s="801" t="s">
        <v>43</v>
      </c>
      <c r="J281" s="55"/>
      <c r="K281" s="69">
        <f>K282</f>
        <v>437228.6</v>
      </c>
      <c r="L281" s="69">
        <f t="shared" si="96"/>
        <v>0</v>
      </c>
      <c r="M281" s="69">
        <f>M282</f>
        <v>437228.6</v>
      </c>
      <c r="N281" s="69">
        <f t="shared" si="96"/>
        <v>448407.1</v>
      </c>
    </row>
    <row r="282" spans="1:15" s="167" customFormat="1" ht="36" x14ac:dyDescent="0.35">
      <c r="A282" s="56"/>
      <c r="B282" s="610" t="s">
        <v>281</v>
      </c>
      <c r="C282" s="68" t="s">
        <v>443</v>
      </c>
      <c r="D282" s="55" t="s">
        <v>221</v>
      </c>
      <c r="E282" s="55" t="s">
        <v>36</v>
      </c>
      <c r="F282" s="799" t="s">
        <v>38</v>
      </c>
      <c r="G282" s="800" t="s">
        <v>44</v>
      </c>
      <c r="H282" s="800" t="s">
        <v>36</v>
      </c>
      <c r="I282" s="801" t="s">
        <v>43</v>
      </c>
      <c r="J282" s="55"/>
      <c r="K282" s="69">
        <f>K287+K285+K289+K283</f>
        <v>437228.6</v>
      </c>
      <c r="L282" s="69">
        <f t="shared" ref="L282" si="97">L287+L285+L289+L283</f>
        <v>0</v>
      </c>
      <c r="M282" s="69">
        <f>M287+M285+M289+M283</f>
        <v>437228.6</v>
      </c>
      <c r="N282" s="69">
        <f>N287+N285+N289+N283</f>
        <v>448407.1</v>
      </c>
    </row>
    <row r="283" spans="1:15" s="163" customFormat="1" ht="36" x14ac:dyDescent="0.35">
      <c r="A283" s="56"/>
      <c r="B283" s="686" t="s">
        <v>484</v>
      </c>
      <c r="C283" s="68" t="s">
        <v>443</v>
      </c>
      <c r="D283" s="55" t="s">
        <v>221</v>
      </c>
      <c r="E283" s="55" t="s">
        <v>36</v>
      </c>
      <c r="F283" s="799" t="s">
        <v>38</v>
      </c>
      <c r="G283" s="800" t="s">
        <v>44</v>
      </c>
      <c r="H283" s="800" t="s">
        <v>36</v>
      </c>
      <c r="I283" s="801" t="s">
        <v>89</v>
      </c>
      <c r="J283" s="55"/>
      <c r="K283" s="69">
        <f>K284</f>
        <v>110353.1</v>
      </c>
      <c r="L283" s="69">
        <f t="shared" ref="L283" si="98">L284</f>
        <v>0</v>
      </c>
      <c r="M283" s="69">
        <f>M284</f>
        <v>110353.1</v>
      </c>
      <c r="N283" s="69">
        <f>N284</f>
        <v>111385</v>
      </c>
    </row>
    <row r="284" spans="1:15" s="163" customFormat="1" ht="54" x14ac:dyDescent="0.35">
      <c r="A284" s="56"/>
      <c r="B284" s="610" t="s">
        <v>74</v>
      </c>
      <c r="C284" s="68" t="s">
        <v>443</v>
      </c>
      <c r="D284" s="55" t="s">
        <v>221</v>
      </c>
      <c r="E284" s="55" t="s">
        <v>36</v>
      </c>
      <c r="F284" s="799" t="s">
        <v>38</v>
      </c>
      <c r="G284" s="800" t="s">
        <v>44</v>
      </c>
      <c r="H284" s="800" t="s">
        <v>36</v>
      </c>
      <c r="I284" s="801" t="s">
        <v>89</v>
      </c>
      <c r="J284" s="55" t="s">
        <v>75</v>
      </c>
      <c r="K284" s="69">
        <v>110353.1</v>
      </c>
      <c r="L284" s="69">
        <f>M284-K284</f>
        <v>0</v>
      </c>
      <c r="M284" s="69">
        <v>110353.1</v>
      </c>
      <c r="N284" s="69">
        <v>111385</v>
      </c>
    </row>
    <row r="285" spans="1:15" s="163" customFormat="1" ht="54" x14ac:dyDescent="0.35">
      <c r="A285" s="56"/>
      <c r="B285" s="610" t="s">
        <v>205</v>
      </c>
      <c r="C285" s="68" t="s">
        <v>443</v>
      </c>
      <c r="D285" s="55" t="s">
        <v>221</v>
      </c>
      <c r="E285" s="55" t="s">
        <v>36</v>
      </c>
      <c r="F285" s="799" t="s">
        <v>38</v>
      </c>
      <c r="G285" s="800" t="s">
        <v>44</v>
      </c>
      <c r="H285" s="800" t="s">
        <v>36</v>
      </c>
      <c r="I285" s="801" t="s">
        <v>287</v>
      </c>
      <c r="J285" s="55"/>
      <c r="K285" s="69">
        <f>K286</f>
        <v>30842.2</v>
      </c>
      <c r="L285" s="69">
        <f t="shared" ref="L285" si="99">L286</f>
        <v>0</v>
      </c>
      <c r="M285" s="69">
        <f>M286</f>
        <v>30842.2</v>
      </c>
      <c r="N285" s="69">
        <f>N286</f>
        <v>23747.8</v>
      </c>
    </row>
    <row r="286" spans="1:15" s="163" customFormat="1" ht="54" x14ac:dyDescent="0.35">
      <c r="A286" s="56"/>
      <c r="B286" s="610" t="s">
        <v>74</v>
      </c>
      <c r="C286" s="68" t="s">
        <v>443</v>
      </c>
      <c r="D286" s="55" t="s">
        <v>221</v>
      </c>
      <c r="E286" s="55" t="s">
        <v>36</v>
      </c>
      <c r="F286" s="799" t="s">
        <v>38</v>
      </c>
      <c r="G286" s="800" t="s">
        <v>44</v>
      </c>
      <c r="H286" s="800" t="s">
        <v>36</v>
      </c>
      <c r="I286" s="801" t="s">
        <v>287</v>
      </c>
      <c r="J286" s="55" t="s">
        <v>75</v>
      </c>
      <c r="K286" s="69">
        <v>30842.2</v>
      </c>
      <c r="L286" s="69">
        <f>M286-K286</f>
        <v>0</v>
      </c>
      <c r="M286" s="69">
        <v>30842.2</v>
      </c>
      <c r="N286" s="69">
        <v>23747.8</v>
      </c>
    </row>
    <row r="287" spans="1:15" s="167" customFormat="1" ht="180" x14ac:dyDescent="0.35">
      <c r="A287" s="56"/>
      <c r="B287" s="610" t="s">
        <v>282</v>
      </c>
      <c r="C287" s="68" t="s">
        <v>443</v>
      </c>
      <c r="D287" s="55" t="s">
        <v>221</v>
      </c>
      <c r="E287" s="55" t="s">
        <v>36</v>
      </c>
      <c r="F287" s="799" t="s">
        <v>38</v>
      </c>
      <c r="G287" s="800" t="s">
        <v>44</v>
      </c>
      <c r="H287" s="800" t="s">
        <v>36</v>
      </c>
      <c r="I287" s="801" t="s">
        <v>283</v>
      </c>
      <c r="J287" s="55"/>
      <c r="K287" s="69">
        <f>K288</f>
        <v>655.8</v>
      </c>
      <c r="L287" s="69">
        <f t="shared" ref="L287" si="100">L288</f>
        <v>0</v>
      </c>
      <c r="M287" s="69">
        <f>M288</f>
        <v>655.8</v>
      </c>
      <c r="N287" s="69">
        <f>N288</f>
        <v>682</v>
      </c>
    </row>
    <row r="288" spans="1:15" s="167" customFormat="1" ht="54" x14ac:dyDescent="0.35">
      <c r="A288" s="56"/>
      <c r="B288" s="610" t="s">
        <v>74</v>
      </c>
      <c r="C288" s="68" t="s">
        <v>443</v>
      </c>
      <c r="D288" s="55" t="s">
        <v>221</v>
      </c>
      <c r="E288" s="55" t="s">
        <v>36</v>
      </c>
      <c r="F288" s="799" t="s">
        <v>38</v>
      </c>
      <c r="G288" s="800" t="s">
        <v>44</v>
      </c>
      <c r="H288" s="800" t="s">
        <v>36</v>
      </c>
      <c r="I288" s="801" t="s">
        <v>283</v>
      </c>
      <c r="J288" s="55" t="s">
        <v>75</v>
      </c>
      <c r="K288" s="69">
        <v>655.8</v>
      </c>
      <c r="L288" s="69">
        <f>M288-K288</f>
        <v>0</v>
      </c>
      <c r="M288" s="69">
        <v>655.8</v>
      </c>
      <c r="N288" s="69">
        <v>682</v>
      </c>
    </row>
    <row r="289" spans="1:14" s="167" customFormat="1" ht="108" x14ac:dyDescent="0.35">
      <c r="A289" s="56"/>
      <c r="B289" s="610" t="s">
        <v>365</v>
      </c>
      <c r="C289" s="68" t="s">
        <v>443</v>
      </c>
      <c r="D289" s="55" t="s">
        <v>221</v>
      </c>
      <c r="E289" s="55" t="s">
        <v>36</v>
      </c>
      <c r="F289" s="799" t="s">
        <v>38</v>
      </c>
      <c r="G289" s="800" t="s">
        <v>44</v>
      </c>
      <c r="H289" s="800" t="s">
        <v>36</v>
      </c>
      <c r="I289" s="801" t="s">
        <v>284</v>
      </c>
      <c r="J289" s="55"/>
      <c r="K289" s="69">
        <f>K290</f>
        <v>295377.5</v>
      </c>
      <c r="L289" s="69">
        <f t="shared" ref="L289" si="101">L290</f>
        <v>0</v>
      </c>
      <c r="M289" s="69">
        <f>M290</f>
        <v>295377.5</v>
      </c>
      <c r="N289" s="69">
        <f>N290</f>
        <v>312592.3</v>
      </c>
    </row>
    <row r="290" spans="1:14" s="167" customFormat="1" ht="54" x14ac:dyDescent="0.35">
      <c r="A290" s="56"/>
      <c r="B290" s="610" t="s">
        <v>74</v>
      </c>
      <c r="C290" s="68" t="s">
        <v>443</v>
      </c>
      <c r="D290" s="55" t="s">
        <v>221</v>
      </c>
      <c r="E290" s="55" t="s">
        <v>36</v>
      </c>
      <c r="F290" s="799" t="s">
        <v>38</v>
      </c>
      <c r="G290" s="800" t="s">
        <v>44</v>
      </c>
      <c r="H290" s="800" t="s">
        <v>36</v>
      </c>
      <c r="I290" s="801" t="s">
        <v>284</v>
      </c>
      <c r="J290" s="55" t="s">
        <v>75</v>
      </c>
      <c r="K290" s="69">
        <v>295377.5</v>
      </c>
      <c r="L290" s="69">
        <f>M290-K290</f>
        <v>0</v>
      </c>
      <c r="M290" s="69">
        <v>295377.5</v>
      </c>
      <c r="N290" s="69">
        <v>312592.3</v>
      </c>
    </row>
    <row r="291" spans="1:14" s="167" customFormat="1" ht="18" x14ac:dyDescent="0.35">
      <c r="A291" s="56"/>
      <c r="B291" s="610" t="s">
        <v>181</v>
      </c>
      <c r="C291" s="68" t="s">
        <v>443</v>
      </c>
      <c r="D291" s="55" t="s">
        <v>221</v>
      </c>
      <c r="E291" s="55" t="s">
        <v>38</v>
      </c>
      <c r="F291" s="799"/>
      <c r="G291" s="800"/>
      <c r="H291" s="800"/>
      <c r="I291" s="801"/>
      <c r="J291" s="55"/>
      <c r="K291" s="69">
        <f>K292</f>
        <v>785496.7</v>
      </c>
      <c r="L291" s="69">
        <f t="shared" ref="L291" si="102">L292</f>
        <v>0</v>
      </c>
      <c r="M291" s="69">
        <f>M292</f>
        <v>785496.7</v>
      </c>
      <c r="N291" s="69">
        <f>N292</f>
        <v>807394.70000000007</v>
      </c>
    </row>
    <row r="292" spans="1:14" s="167" customFormat="1" ht="54" x14ac:dyDescent="0.35">
      <c r="A292" s="56"/>
      <c r="B292" s="610" t="s">
        <v>203</v>
      </c>
      <c r="C292" s="68" t="s">
        <v>443</v>
      </c>
      <c r="D292" s="55" t="s">
        <v>221</v>
      </c>
      <c r="E292" s="55" t="s">
        <v>38</v>
      </c>
      <c r="F292" s="799" t="s">
        <v>38</v>
      </c>
      <c r="G292" s="800" t="s">
        <v>41</v>
      </c>
      <c r="H292" s="800" t="s">
        <v>42</v>
      </c>
      <c r="I292" s="801" t="s">
        <v>43</v>
      </c>
      <c r="J292" s="55"/>
      <c r="K292" s="69">
        <f>K293+K333</f>
        <v>785496.7</v>
      </c>
      <c r="L292" s="69">
        <f>L293+L333</f>
        <v>0</v>
      </c>
      <c r="M292" s="69">
        <f>M293+M333</f>
        <v>785496.7</v>
      </c>
      <c r="N292" s="69">
        <f>N293+N333</f>
        <v>807394.70000000007</v>
      </c>
    </row>
    <row r="293" spans="1:14" s="167" customFormat="1" ht="36" x14ac:dyDescent="0.35">
      <c r="A293" s="56"/>
      <c r="B293" s="610" t="s">
        <v>204</v>
      </c>
      <c r="C293" s="68" t="s">
        <v>443</v>
      </c>
      <c r="D293" s="55" t="s">
        <v>221</v>
      </c>
      <c r="E293" s="55" t="s">
        <v>38</v>
      </c>
      <c r="F293" s="799" t="s">
        <v>38</v>
      </c>
      <c r="G293" s="800" t="s">
        <v>44</v>
      </c>
      <c r="H293" s="800" t="s">
        <v>42</v>
      </c>
      <c r="I293" s="801" t="s">
        <v>43</v>
      </c>
      <c r="J293" s="55"/>
      <c r="K293" s="69">
        <f>K294+K329</f>
        <v>783205.2</v>
      </c>
      <c r="L293" s="69">
        <f>L294+L329</f>
        <v>0</v>
      </c>
      <c r="M293" s="69">
        <f>M294+M329</f>
        <v>783205.2</v>
      </c>
      <c r="N293" s="69">
        <f>N294+N329</f>
        <v>805132.4</v>
      </c>
    </row>
    <row r="294" spans="1:14" s="167" customFormat="1" ht="18" x14ac:dyDescent="0.35">
      <c r="A294" s="56"/>
      <c r="B294" s="610" t="s">
        <v>286</v>
      </c>
      <c r="C294" s="68" t="s">
        <v>443</v>
      </c>
      <c r="D294" s="55" t="s">
        <v>221</v>
      </c>
      <c r="E294" s="55" t="s">
        <v>38</v>
      </c>
      <c r="F294" s="799" t="s">
        <v>38</v>
      </c>
      <c r="G294" s="800" t="s">
        <v>44</v>
      </c>
      <c r="H294" s="800" t="s">
        <v>38</v>
      </c>
      <c r="I294" s="801" t="s">
        <v>43</v>
      </c>
      <c r="J294" s="55"/>
      <c r="K294" s="69">
        <f>K306+K310+K314+K295+K303+K319+K300+K325+K317+K322</f>
        <v>777459.29999999993</v>
      </c>
      <c r="L294" s="69">
        <f t="shared" ref="L294" si="103">L306+L310+L314+L295+L303+L319+L300+L325+L317+L322</f>
        <v>0</v>
      </c>
      <c r="M294" s="69">
        <f>M306+M310+M314+M295+M303+M319+M300+M325+M317+M322</f>
        <v>777459.29999999993</v>
      </c>
      <c r="N294" s="69">
        <f t="shared" ref="N294" si="104">N306+N310+N314+N295+N303+N319+N300+N325+N317+N322</f>
        <v>798186</v>
      </c>
    </row>
    <row r="295" spans="1:14" s="163" customFormat="1" ht="36" x14ac:dyDescent="0.35">
      <c r="A295" s="56"/>
      <c r="B295" s="686" t="s">
        <v>484</v>
      </c>
      <c r="C295" s="68" t="s">
        <v>443</v>
      </c>
      <c r="D295" s="55" t="s">
        <v>221</v>
      </c>
      <c r="E295" s="55" t="s">
        <v>38</v>
      </c>
      <c r="F295" s="799" t="s">
        <v>38</v>
      </c>
      <c r="G295" s="800" t="s">
        <v>44</v>
      </c>
      <c r="H295" s="800" t="s">
        <v>38</v>
      </c>
      <c r="I295" s="801" t="s">
        <v>89</v>
      </c>
      <c r="J295" s="55"/>
      <c r="K295" s="69">
        <f>K298+K299+K297+K296</f>
        <v>83040.900000000009</v>
      </c>
      <c r="L295" s="69">
        <f t="shared" ref="L295" si="105">L298+L299+L297+L296</f>
        <v>0</v>
      </c>
      <c r="M295" s="69">
        <f>M298+M299+M297+M296</f>
        <v>83040.900000000009</v>
      </c>
      <c r="N295" s="69">
        <f>N298+N299+N297+N296</f>
        <v>85008.1</v>
      </c>
    </row>
    <row r="296" spans="1:14" s="163" customFormat="1" ht="108" x14ac:dyDescent="0.35">
      <c r="A296" s="56"/>
      <c r="B296" s="610" t="s">
        <v>48</v>
      </c>
      <c r="C296" s="68" t="s">
        <v>443</v>
      </c>
      <c r="D296" s="55" t="s">
        <v>221</v>
      </c>
      <c r="E296" s="55" t="s">
        <v>38</v>
      </c>
      <c r="F296" s="799" t="s">
        <v>38</v>
      </c>
      <c r="G296" s="800" t="s">
        <v>44</v>
      </c>
      <c r="H296" s="800" t="s">
        <v>38</v>
      </c>
      <c r="I296" s="801" t="s">
        <v>89</v>
      </c>
      <c r="J296" s="55" t="s">
        <v>49</v>
      </c>
      <c r="K296" s="69">
        <v>451</v>
      </c>
      <c r="L296" s="69">
        <f>M296-K296</f>
        <v>0</v>
      </c>
      <c r="M296" s="69">
        <v>451</v>
      </c>
      <c r="N296" s="69">
        <v>451</v>
      </c>
    </row>
    <row r="297" spans="1:14" s="163" customFormat="1" ht="54" x14ac:dyDescent="0.35">
      <c r="A297" s="56"/>
      <c r="B297" s="610" t="s">
        <v>53</v>
      </c>
      <c r="C297" s="68" t="s">
        <v>443</v>
      </c>
      <c r="D297" s="55" t="s">
        <v>221</v>
      </c>
      <c r="E297" s="55" t="s">
        <v>38</v>
      </c>
      <c r="F297" s="799" t="s">
        <v>38</v>
      </c>
      <c r="G297" s="800" t="s">
        <v>44</v>
      </c>
      <c r="H297" s="800" t="s">
        <v>38</v>
      </c>
      <c r="I297" s="801" t="s">
        <v>89</v>
      </c>
      <c r="J297" s="55" t="s">
        <v>54</v>
      </c>
      <c r="K297" s="69">
        <v>7088.1</v>
      </c>
      <c r="L297" s="69">
        <f>M297-K297</f>
        <v>0</v>
      </c>
      <c r="M297" s="69">
        <v>7088.1</v>
      </c>
      <c r="N297" s="69">
        <v>7239.5</v>
      </c>
    </row>
    <row r="298" spans="1:14" s="163" customFormat="1" ht="54" x14ac:dyDescent="0.35">
      <c r="A298" s="56"/>
      <c r="B298" s="610" t="s">
        <v>74</v>
      </c>
      <c r="C298" s="68" t="s">
        <v>443</v>
      </c>
      <c r="D298" s="55" t="s">
        <v>221</v>
      </c>
      <c r="E298" s="55" t="s">
        <v>38</v>
      </c>
      <c r="F298" s="799" t="s">
        <v>38</v>
      </c>
      <c r="G298" s="800" t="s">
        <v>44</v>
      </c>
      <c r="H298" s="800" t="s">
        <v>38</v>
      </c>
      <c r="I298" s="801" t="s">
        <v>89</v>
      </c>
      <c r="J298" s="55" t="s">
        <v>75</v>
      </c>
      <c r="K298" s="69">
        <v>75162.8</v>
      </c>
      <c r="L298" s="69">
        <f>M298-K298</f>
        <v>0</v>
      </c>
      <c r="M298" s="69">
        <v>75162.8</v>
      </c>
      <c r="N298" s="69">
        <v>76989.3</v>
      </c>
    </row>
    <row r="299" spans="1:14" s="163" customFormat="1" ht="18" x14ac:dyDescent="0.35">
      <c r="A299" s="56"/>
      <c r="B299" s="610" t="s">
        <v>55</v>
      </c>
      <c r="C299" s="68" t="s">
        <v>443</v>
      </c>
      <c r="D299" s="55" t="s">
        <v>221</v>
      </c>
      <c r="E299" s="55" t="s">
        <v>38</v>
      </c>
      <c r="F299" s="799" t="s">
        <v>38</v>
      </c>
      <c r="G299" s="800" t="s">
        <v>44</v>
      </c>
      <c r="H299" s="800" t="s">
        <v>38</v>
      </c>
      <c r="I299" s="801" t="s">
        <v>89</v>
      </c>
      <c r="J299" s="55" t="s">
        <v>56</v>
      </c>
      <c r="K299" s="69">
        <v>339</v>
      </c>
      <c r="L299" s="69">
        <f>M299-K299</f>
        <v>0</v>
      </c>
      <c r="M299" s="69">
        <v>339</v>
      </c>
      <c r="N299" s="69">
        <v>328.3</v>
      </c>
    </row>
    <row r="300" spans="1:14" s="163" customFormat="1" ht="54" x14ac:dyDescent="0.35">
      <c r="A300" s="56"/>
      <c r="B300" s="610" t="s">
        <v>205</v>
      </c>
      <c r="C300" s="68" t="s">
        <v>443</v>
      </c>
      <c r="D300" s="55" t="s">
        <v>221</v>
      </c>
      <c r="E300" s="55" t="s">
        <v>38</v>
      </c>
      <c r="F300" s="799" t="s">
        <v>38</v>
      </c>
      <c r="G300" s="800" t="s">
        <v>44</v>
      </c>
      <c r="H300" s="800" t="s">
        <v>38</v>
      </c>
      <c r="I300" s="801" t="s">
        <v>287</v>
      </c>
      <c r="J300" s="55"/>
      <c r="K300" s="69">
        <f>K301+K302</f>
        <v>28715.1</v>
      </c>
      <c r="L300" s="69">
        <f t="shared" ref="L300" si="106">L301+L302</f>
        <v>0</v>
      </c>
      <c r="M300" s="69">
        <f>M301+M302</f>
        <v>28715.1</v>
      </c>
      <c r="N300" s="69">
        <f>N301+N302</f>
        <v>22110</v>
      </c>
    </row>
    <row r="301" spans="1:14" s="163" customFormat="1" ht="54" x14ac:dyDescent="0.35">
      <c r="A301" s="56"/>
      <c r="B301" s="610" t="s">
        <v>53</v>
      </c>
      <c r="C301" s="68" t="s">
        <v>443</v>
      </c>
      <c r="D301" s="55" t="s">
        <v>221</v>
      </c>
      <c r="E301" s="55" t="s">
        <v>38</v>
      </c>
      <c r="F301" s="799" t="s">
        <v>38</v>
      </c>
      <c r="G301" s="800" t="s">
        <v>44</v>
      </c>
      <c r="H301" s="800" t="s">
        <v>38</v>
      </c>
      <c r="I301" s="801" t="s">
        <v>287</v>
      </c>
      <c r="J301" s="55" t="s">
        <v>54</v>
      </c>
      <c r="K301" s="69">
        <v>4254.1000000000004</v>
      </c>
      <c r="L301" s="69">
        <f>M301-K301</f>
        <v>0</v>
      </c>
      <c r="M301" s="69">
        <v>4254.1000000000004</v>
      </c>
      <c r="N301" s="69">
        <v>3275.6</v>
      </c>
    </row>
    <row r="302" spans="1:14" s="163" customFormat="1" ht="54" x14ac:dyDescent="0.35">
      <c r="A302" s="56"/>
      <c r="B302" s="610" t="s">
        <v>74</v>
      </c>
      <c r="C302" s="68" t="s">
        <v>443</v>
      </c>
      <c r="D302" s="55" t="s">
        <v>221</v>
      </c>
      <c r="E302" s="55" t="s">
        <v>38</v>
      </c>
      <c r="F302" s="799" t="s">
        <v>38</v>
      </c>
      <c r="G302" s="800" t="s">
        <v>44</v>
      </c>
      <c r="H302" s="800" t="s">
        <v>38</v>
      </c>
      <c r="I302" s="801" t="s">
        <v>287</v>
      </c>
      <c r="J302" s="55" t="s">
        <v>75</v>
      </c>
      <c r="K302" s="69">
        <v>24461</v>
      </c>
      <c r="L302" s="69">
        <f>M302-K302</f>
        <v>0</v>
      </c>
      <c r="M302" s="69">
        <v>24461</v>
      </c>
      <c r="N302" s="69">
        <v>18834.400000000001</v>
      </c>
    </row>
    <row r="303" spans="1:14" s="163" customFormat="1" ht="36" x14ac:dyDescent="0.35">
      <c r="A303" s="56"/>
      <c r="B303" s="610" t="s">
        <v>206</v>
      </c>
      <c r="C303" s="68" t="s">
        <v>443</v>
      </c>
      <c r="D303" s="55" t="s">
        <v>221</v>
      </c>
      <c r="E303" s="55" t="s">
        <v>38</v>
      </c>
      <c r="F303" s="799" t="s">
        <v>38</v>
      </c>
      <c r="G303" s="800" t="s">
        <v>44</v>
      </c>
      <c r="H303" s="800" t="s">
        <v>38</v>
      </c>
      <c r="I303" s="801" t="s">
        <v>288</v>
      </c>
      <c r="J303" s="55"/>
      <c r="K303" s="69">
        <f>SUM(K304:K305)</f>
        <v>23846.399999999998</v>
      </c>
      <c r="L303" s="69">
        <f t="shared" ref="L303" si="107">SUM(L304:L305)</f>
        <v>0</v>
      </c>
      <c r="M303" s="69">
        <f>SUM(M304:M305)</f>
        <v>23846.399999999998</v>
      </c>
      <c r="N303" s="69">
        <f>SUM(N304:N305)</f>
        <v>23835.5</v>
      </c>
    </row>
    <row r="304" spans="1:14" s="163" customFormat="1" ht="54" x14ac:dyDescent="0.35">
      <c r="A304" s="56"/>
      <c r="B304" s="610" t="s">
        <v>53</v>
      </c>
      <c r="C304" s="68" t="s">
        <v>443</v>
      </c>
      <c r="D304" s="55" t="s">
        <v>221</v>
      </c>
      <c r="E304" s="55" t="s">
        <v>38</v>
      </c>
      <c r="F304" s="799" t="s">
        <v>38</v>
      </c>
      <c r="G304" s="800" t="s">
        <v>44</v>
      </c>
      <c r="H304" s="800" t="s">
        <v>38</v>
      </c>
      <c r="I304" s="801" t="s">
        <v>288</v>
      </c>
      <c r="J304" s="55" t="s">
        <v>54</v>
      </c>
      <c r="K304" s="69">
        <v>609.1</v>
      </c>
      <c r="L304" s="69">
        <f>M304-K304</f>
        <v>0</v>
      </c>
      <c r="M304" s="69">
        <v>609.1</v>
      </c>
      <c r="N304" s="69">
        <v>609.1</v>
      </c>
    </row>
    <row r="305" spans="1:14" s="163" customFormat="1" ht="54" x14ac:dyDescent="0.35">
      <c r="A305" s="56"/>
      <c r="B305" s="610" t="s">
        <v>74</v>
      </c>
      <c r="C305" s="68" t="s">
        <v>443</v>
      </c>
      <c r="D305" s="55" t="s">
        <v>221</v>
      </c>
      <c r="E305" s="55" t="s">
        <v>38</v>
      </c>
      <c r="F305" s="799" t="s">
        <v>38</v>
      </c>
      <c r="G305" s="800" t="s">
        <v>44</v>
      </c>
      <c r="H305" s="800" t="s">
        <v>38</v>
      </c>
      <c r="I305" s="801" t="s">
        <v>288</v>
      </c>
      <c r="J305" s="55" t="s">
        <v>75</v>
      </c>
      <c r="K305" s="69">
        <v>23237.3</v>
      </c>
      <c r="L305" s="69">
        <f>M305-K305</f>
        <v>0</v>
      </c>
      <c r="M305" s="69">
        <v>23237.3</v>
      </c>
      <c r="N305" s="69">
        <v>23226.400000000001</v>
      </c>
    </row>
    <row r="306" spans="1:14" s="167" customFormat="1" ht="180" x14ac:dyDescent="0.35">
      <c r="A306" s="56"/>
      <c r="B306" s="610" t="s">
        <v>282</v>
      </c>
      <c r="C306" s="68" t="s">
        <v>443</v>
      </c>
      <c r="D306" s="55" t="s">
        <v>221</v>
      </c>
      <c r="E306" s="55" t="s">
        <v>38</v>
      </c>
      <c r="F306" s="799" t="s">
        <v>38</v>
      </c>
      <c r="G306" s="800" t="s">
        <v>44</v>
      </c>
      <c r="H306" s="800" t="s">
        <v>38</v>
      </c>
      <c r="I306" s="801" t="s">
        <v>283</v>
      </c>
      <c r="J306" s="55"/>
      <c r="K306" s="69">
        <f>SUM(K307:K309)</f>
        <v>1527.3</v>
      </c>
      <c r="L306" s="69">
        <f t="shared" ref="L306" si="108">SUM(L307:L309)</f>
        <v>0</v>
      </c>
      <c r="M306" s="69">
        <f>SUM(M307:M309)</f>
        <v>1527.3</v>
      </c>
      <c r="N306" s="69">
        <f>SUM(N307:N309)</f>
        <v>1588.3999999999999</v>
      </c>
    </row>
    <row r="307" spans="1:14" s="167" customFormat="1" ht="108" x14ac:dyDescent="0.35">
      <c r="A307" s="56"/>
      <c r="B307" s="610" t="s">
        <v>48</v>
      </c>
      <c r="C307" s="68" t="s">
        <v>443</v>
      </c>
      <c r="D307" s="55" t="s">
        <v>221</v>
      </c>
      <c r="E307" s="55" t="s">
        <v>38</v>
      </c>
      <c r="F307" s="799" t="s">
        <v>38</v>
      </c>
      <c r="G307" s="800" t="s">
        <v>44</v>
      </c>
      <c r="H307" s="800" t="s">
        <v>38</v>
      </c>
      <c r="I307" s="801" t="s">
        <v>283</v>
      </c>
      <c r="J307" s="55" t="s">
        <v>49</v>
      </c>
      <c r="K307" s="69">
        <v>80</v>
      </c>
      <c r="L307" s="69">
        <f>M307-K307</f>
        <v>0</v>
      </c>
      <c r="M307" s="69">
        <v>80</v>
      </c>
      <c r="N307" s="69">
        <v>82.4</v>
      </c>
    </row>
    <row r="308" spans="1:14" s="167" customFormat="1" ht="36" x14ac:dyDescent="0.35">
      <c r="A308" s="56"/>
      <c r="B308" s="610" t="s">
        <v>118</v>
      </c>
      <c r="C308" s="68" t="s">
        <v>443</v>
      </c>
      <c r="D308" s="55" t="s">
        <v>221</v>
      </c>
      <c r="E308" s="55" t="s">
        <v>38</v>
      </c>
      <c r="F308" s="799" t="s">
        <v>38</v>
      </c>
      <c r="G308" s="800" t="s">
        <v>44</v>
      </c>
      <c r="H308" s="800" t="s">
        <v>38</v>
      </c>
      <c r="I308" s="801" t="s">
        <v>283</v>
      </c>
      <c r="J308" s="55" t="s">
        <v>119</v>
      </c>
      <c r="K308" s="69">
        <v>5.6</v>
      </c>
      <c r="L308" s="69">
        <f>M308-K308</f>
        <v>0</v>
      </c>
      <c r="M308" s="69">
        <v>5.6</v>
      </c>
      <c r="N308" s="69">
        <v>5.7</v>
      </c>
    </row>
    <row r="309" spans="1:14" s="167" customFormat="1" ht="54" x14ac:dyDescent="0.35">
      <c r="A309" s="56"/>
      <c r="B309" s="610" t="s">
        <v>74</v>
      </c>
      <c r="C309" s="68" t="s">
        <v>443</v>
      </c>
      <c r="D309" s="55" t="s">
        <v>221</v>
      </c>
      <c r="E309" s="55" t="s">
        <v>38</v>
      </c>
      <c r="F309" s="799" t="s">
        <v>38</v>
      </c>
      <c r="G309" s="800" t="s">
        <v>44</v>
      </c>
      <c r="H309" s="800" t="s">
        <v>38</v>
      </c>
      <c r="I309" s="801" t="s">
        <v>283</v>
      </c>
      <c r="J309" s="55" t="s">
        <v>75</v>
      </c>
      <c r="K309" s="69">
        <v>1441.7</v>
      </c>
      <c r="L309" s="69">
        <f>M309-K309</f>
        <v>0</v>
      </c>
      <c r="M309" s="69">
        <v>1441.7</v>
      </c>
      <c r="N309" s="69">
        <v>1500.3</v>
      </c>
    </row>
    <row r="310" spans="1:14" s="167" customFormat="1" ht="108" x14ac:dyDescent="0.35">
      <c r="A310" s="56"/>
      <c r="B310" s="610" t="s">
        <v>365</v>
      </c>
      <c r="C310" s="68" t="s">
        <v>443</v>
      </c>
      <c r="D310" s="55" t="s">
        <v>221</v>
      </c>
      <c r="E310" s="55" t="s">
        <v>38</v>
      </c>
      <c r="F310" s="799" t="s">
        <v>38</v>
      </c>
      <c r="G310" s="800" t="s">
        <v>44</v>
      </c>
      <c r="H310" s="800" t="s">
        <v>38</v>
      </c>
      <c r="I310" s="801" t="s">
        <v>284</v>
      </c>
      <c r="J310" s="55"/>
      <c r="K310" s="69">
        <f>K311+K312+K313</f>
        <v>520244.5</v>
      </c>
      <c r="L310" s="69">
        <f t="shared" ref="L310" si="109">L311+L312+L313</f>
        <v>0</v>
      </c>
      <c r="M310" s="69">
        <f>M311+M312+M313</f>
        <v>520244.5</v>
      </c>
      <c r="N310" s="69">
        <f>N311+N312+N313</f>
        <v>545579.30000000005</v>
      </c>
    </row>
    <row r="311" spans="1:14" s="167" customFormat="1" ht="108" x14ac:dyDescent="0.35">
      <c r="A311" s="56"/>
      <c r="B311" s="610" t="s">
        <v>48</v>
      </c>
      <c r="C311" s="68" t="s">
        <v>443</v>
      </c>
      <c r="D311" s="55" t="s">
        <v>221</v>
      </c>
      <c r="E311" s="55" t="s">
        <v>38</v>
      </c>
      <c r="F311" s="799" t="s">
        <v>38</v>
      </c>
      <c r="G311" s="800" t="s">
        <v>44</v>
      </c>
      <c r="H311" s="800" t="s">
        <v>38</v>
      </c>
      <c r="I311" s="801" t="s">
        <v>284</v>
      </c>
      <c r="J311" s="55" t="s">
        <v>49</v>
      </c>
      <c r="K311" s="69">
        <v>30000</v>
      </c>
      <c r="L311" s="69">
        <f>M311-K311</f>
        <v>0</v>
      </c>
      <c r="M311" s="69">
        <v>30000</v>
      </c>
      <c r="N311" s="69">
        <v>30000</v>
      </c>
    </row>
    <row r="312" spans="1:14" s="167" customFormat="1" ht="54" x14ac:dyDescent="0.35">
      <c r="A312" s="56"/>
      <c r="B312" s="610" t="s">
        <v>53</v>
      </c>
      <c r="C312" s="68" t="s">
        <v>443</v>
      </c>
      <c r="D312" s="55" t="s">
        <v>221</v>
      </c>
      <c r="E312" s="55" t="s">
        <v>38</v>
      </c>
      <c r="F312" s="799" t="s">
        <v>38</v>
      </c>
      <c r="G312" s="800" t="s">
        <v>44</v>
      </c>
      <c r="H312" s="800" t="s">
        <v>38</v>
      </c>
      <c r="I312" s="801" t="s">
        <v>284</v>
      </c>
      <c r="J312" s="55" t="s">
        <v>54</v>
      </c>
      <c r="K312" s="69">
        <v>2062</v>
      </c>
      <c r="L312" s="69">
        <f>M312-K312</f>
        <v>0</v>
      </c>
      <c r="M312" s="69">
        <v>2062</v>
      </c>
      <c r="N312" s="69">
        <v>2062</v>
      </c>
    </row>
    <row r="313" spans="1:14" s="167" customFormat="1" ht="54" x14ac:dyDescent="0.35">
      <c r="A313" s="56"/>
      <c r="B313" s="610" t="s">
        <v>74</v>
      </c>
      <c r="C313" s="68" t="s">
        <v>443</v>
      </c>
      <c r="D313" s="55" t="s">
        <v>221</v>
      </c>
      <c r="E313" s="55" t="s">
        <v>38</v>
      </c>
      <c r="F313" s="799" t="s">
        <v>38</v>
      </c>
      <c r="G313" s="800" t="s">
        <v>44</v>
      </c>
      <c r="H313" s="800" t="s">
        <v>38</v>
      </c>
      <c r="I313" s="801" t="s">
        <v>284</v>
      </c>
      <c r="J313" s="55" t="s">
        <v>75</v>
      </c>
      <c r="K313" s="69">
        <v>488182.5</v>
      </c>
      <c r="L313" s="69">
        <f>M313-K313</f>
        <v>0</v>
      </c>
      <c r="M313" s="69">
        <v>488182.5</v>
      </c>
      <c r="N313" s="69">
        <v>513517.3</v>
      </c>
    </row>
    <row r="314" spans="1:14" s="163" customFormat="1" ht="90" x14ac:dyDescent="0.35">
      <c r="A314" s="56"/>
      <c r="B314" s="610" t="s">
        <v>207</v>
      </c>
      <c r="C314" s="68" t="s">
        <v>443</v>
      </c>
      <c r="D314" s="55" t="s">
        <v>221</v>
      </c>
      <c r="E314" s="55" t="s">
        <v>38</v>
      </c>
      <c r="F314" s="799" t="s">
        <v>38</v>
      </c>
      <c r="G314" s="800" t="s">
        <v>44</v>
      </c>
      <c r="H314" s="800" t="s">
        <v>38</v>
      </c>
      <c r="I314" s="801" t="s">
        <v>289</v>
      </c>
      <c r="J314" s="55"/>
      <c r="K314" s="69">
        <f>SUM(K315:K316)</f>
        <v>2481.6</v>
      </c>
      <c r="L314" s="69">
        <f t="shared" ref="L314" si="110">SUM(L315:L316)</f>
        <v>0</v>
      </c>
      <c r="M314" s="69">
        <f>SUM(M315:M316)</f>
        <v>2481.6</v>
      </c>
      <c r="N314" s="69">
        <f>SUM(N315:N316)</f>
        <v>2589.2000000000003</v>
      </c>
    </row>
    <row r="315" spans="1:14" s="163" customFormat="1" ht="54" x14ac:dyDescent="0.35">
      <c r="A315" s="56"/>
      <c r="B315" s="610" t="s">
        <v>53</v>
      </c>
      <c r="C315" s="68" t="s">
        <v>443</v>
      </c>
      <c r="D315" s="55" t="s">
        <v>221</v>
      </c>
      <c r="E315" s="55" t="s">
        <v>38</v>
      </c>
      <c r="F315" s="799" t="s">
        <v>38</v>
      </c>
      <c r="G315" s="800" t="s">
        <v>44</v>
      </c>
      <c r="H315" s="800" t="s">
        <v>38</v>
      </c>
      <c r="I315" s="801" t="s">
        <v>289</v>
      </c>
      <c r="J315" s="55" t="s">
        <v>54</v>
      </c>
      <c r="K315" s="69">
        <v>106.4</v>
      </c>
      <c r="L315" s="69">
        <f>M315-K315</f>
        <v>0</v>
      </c>
      <c r="M315" s="69">
        <v>106.4</v>
      </c>
      <c r="N315" s="69">
        <v>110.3</v>
      </c>
    </row>
    <row r="316" spans="1:14" s="163" customFormat="1" ht="54" x14ac:dyDescent="0.35">
      <c r="A316" s="56"/>
      <c r="B316" s="610" t="s">
        <v>74</v>
      </c>
      <c r="C316" s="68" t="s">
        <v>443</v>
      </c>
      <c r="D316" s="55" t="s">
        <v>221</v>
      </c>
      <c r="E316" s="55" t="s">
        <v>38</v>
      </c>
      <c r="F316" s="799" t="s">
        <v>38</v>
      </c>
      <c r="G316" s="800" t="s">
        <v>44</v>
      </c>
      <c r="H316" s="800" t="s">
        <v>38</v>
      </c>
      <c r="I316" s="801" t="s">
        <v>289</v>
      </c>
      <c r="J316" s="55" t="s">
        <v>75</v>
      </c>
      <c r="K316" s="69">
        <v>2375.1999999999998</v>
      </c>
      <c r="L316" s="69">
        <f>M316-K316</f>
        <v>0</v>
      </c>
      <c r="M316" s="69">
        <v>2375.1999999999998</v>
      </c>
      <c r="N316" s="69">
        <v>2478.9</v>
      </c>
    </row>
    <row r="317" spans="1:14" s="163" customFormat="1" ht="162" x14ac:dyDescent="0.35">
      <c r="A317" s="56"/>
      <c r="B317" s="610" t="s">
        <v>556</v>
      </c>
      <c r="C317" s="68" t="s">
        <v>443</v>
      </c>
      <c r="D317" s="55" t="s">
        <v>221</v>
      </c>
      <c r="E317" s="55" t="s">
        <v>38</v>
      </c>
      <c r="F317" s="799" t="s">
        <v>38</v>
      </c>
      <c r="G317" s="800" t="s">
        <v>44</v>
      </c>
      <c r="H317" s="800" t="s">
        <v>38</v>
      </c>
      <c r="I317" s="801" t="s">
        <v>555</v>
      </c>
      <c r="J317" s="55"/>
      <c r="K317" s="69">
        <f>SUM(K318:K318)</f>
        <v>1921.1</v>
      </c>
      <c r="L317" s="69">
        <f t="shared" ref="L317" si="111">SUM(L318:L318)</f>
        <v>0</v>
      </c>
      <c r="M317" s="69">
        <f>SUM(M318:M318)</f>
        <v>1921.1</v>
      </c>
      <c r="N317" s="69">
        <f>SUM(N318:N318)</f>
        <v>1875.2</v>
      </c>
    </row>
    <row r="318" spans="1:14" s="163" customFormat="1" ht="54" x14ac:dyDescent="0.35">
      <c r="A318" s="56"/>
      <c r="B318" s="610" t="s">
        <v>74</v>
      </c>
      <c r="C318" s="68" t="s">
        <v>443</v>
      </c>
      <c r="D318" s="55" t="s">
        <v>221</v>
      </c>
      <c r="E318" s="55" t="s">
        <v>38</v>
      </c>
      <c r="F318" s="799" t="s">
        <v>38</v>
      </c>
      <c r="G318" s="800" t="s">
        <v>44</v>
      </c>
      <c r="H318" s="800" t="s">
        <v>38</v>
      </c>
      <c r="I318" s="801" t="s">
        <v>555</v>
      </c>
      <c r="J318" s="55" t="s">
        <v>75</v>
      </c>
      <c r="K318" s="69">
        <v>1921.1</v>
      </c>
      <c r="L318" s="69">
        <f>M318-K318</f>
        <v>0</v>
      </c>
      <c r="M318" s="69">
        <v>1921.1</v>
      </c>
      <c r="N318" s="69">
        <v>1875.2</v>
      </c>
    </row>
    <row r="319" spans="1:14" s="163" customFormat="1" ht="72" x14ac:dyDescent="0.35">
      <c r="A319" s="56"/>
      <c r="B319" s="610" t="s">
        <v>476</v>
      </c>
      <c r="C319" s="68" t="s">
        <v>443</v>
      </c>
      <c r="D319" s="55" t="s">
        <v>221</v>
      </c>
      <c r="E319" s="55" t="s">
        <v>38</v>
      </c>
      <c r="F319" s="799" t="s">
        <v>38</v>
      </c>
      <c r="G319" s="800" t="s">
        <v>44</v>
      </c>
      <c r="H319" s="800" t="s">
        <v>38</v>
      </c>
      <c r="I319" s="801" t="s">
        <v>475</v>
      </c>
      <c r="J319" s="55"/>
      <c r="K319" s="69">
        <f>K320+K321</f>
        <v>66931</v>
      </c>
      <c r="L319" s="69">
        <f t="shared" ref="L319" si="112">L320+L321</f>
        <v>0</v>
      </c>
      <c r="M319" s="69">
        <f>M320+M321</f>
        <v>66931</v>
      </c>
      <c r="N319" s="69">
        <f>N320+N321</f>
        <v>67036.900000000009</v>
      </c>
    </row>
    <row r="320" spans="1:14" s="163" customFormat="1" ht="54" x14ac:dyDescent="0.35">
      <c r="A320" s="56"/>
      <c r="B320" s="610" t="s">
        <v>53</v>
      </c>
      <c r="C320" s="68" t="s">
        <v>443</v>
      </c>
      <c r="D320" s="55" t="s">
        <v>221</v>
      </c>
      <c r="E320" s="55" t="s">
        <v>38</v>
      </c>
      <c r="F320" s="799" t="s">
        <v>38</v>
      </c>
      <c r="G320" s="800" t="s">
        <v>44</v>
      </c>
      <c r="H320" s="800" t="s">
        <v>38</v>
      </c>
      <c r="I320" s="801" t="s">
        <v>475</v>
      </c>
      <c r="J320" s="55" t="s">
        <v>54</v>
      </c>
      <c r="K320" s="69">
        <v>1760.3</v>
      </c>
      <c r="L320" s="69">
        <f>M320-K320</f>
        <v>0</v>
      </c>
      <c r="M320" s="69">
        <v>1760.3</v>
      </c>
      <c r="N320" s="69">
        <v>1763.1</v>
      </c>
    </row>
    <row r="321" spans="1:17" s="163" customFormat="1" ht="54" x14ac:dyDescent="0.35">
      <c r="A321" s="56"/>
      <c r="B321" s="610" t="s">
        <v>74</v>
      </c>
      <c r="C321" s="68" t="s">
        <v>443</v>
      </c>
      <c r="D321" s="55" t="s">
        <v>221</v>
      </c>
      <c r="E321" s="55" t="s">
        <v>38</v>
      </c>
      <c r="F321" s="799" t="s">
        <v>38</v>
      </c>
      <c r="G321" s="800" t="s">
        <v>44</v>
      </c>
      <c r="H321" s="800" t="s">
        <v>38</v>
      </c>
      <c r="I321" s="801" t="s">
        <v>475</v>
      </c>
      <c r="J321" s="55" t="s">
        <v>75</v>
      </c>
      <c r="K321" s="69">
        <v>65170.7</v>
      </c>
      <c r="L321" s="69">
        <f>M321-K321</f>
        <v>0</v>
      </c>
      <c r="M321" s="69">
        <v>65170.7</v>
      </c>
      <c r="N321" s="69">
        <v>65273.8</v>
      </c>
      <c r="Q321" s="230"/>
    </row>
    <row r="322" spans="1:17" s="163" customFormat="1" ht="270" x14ac:dyDescent="0.35">
      <c r="A322" s="56"/>
      <c r="B322" s="610" t="s">
        <v>759</v>
      </c>
      <c r="C322" s="68" t="s">
        <v>443</v>
      </c>
      <c r="D322" s="55" t="s">
        <v>221</v>
      </c>
      <c r="E322" s="55" t="s">
        <v>38</v>
      </c>
      <c r="F322" s="799" t="s">
        <v>38</v>
      </c>
      <c r="G322" s="800" t="s">
        <v>44</v>
      </c>
      <c r="H322" s="800" t="s">
        <v>38</v>
      </c>
      <c r="I322" s="801" t="s">
        <v>696</v>
      </c>
      <c r="J322" s="55"/>
      <c r="K322" s="69">
        <f>K323+K324</f>
        <v>35544.6</v>
      </c>
      <c r="L322" s="69">
        <f t="shared" ref="L322" si="113">L323+L324</f>
        <v>0</v>
      </c>
      <c r="M322" s="69">
        <f>M323+M324</f>
        <v>35544.6</v>
      </c>
      <c r="N322" s="69">
        <f>N323+N324</f>
        <v>35544.6</v>
      </c>
    </row>
    <row r="323" spans="1:17" s="163" customFormat="1" ht="108" x14ac:dyDescent="0.35">
      <c r="A323" s="56"/>
      <c r="B323" s="610" t="s">
        <v>48</v>
      </c>
      <c r="C323" s="68" t="s">
        <v>443</v>
      </c>
      <c r="D323" s="55" t="s">
        <v>221</v>
      </c>
      <c r="E323" s="55" t="s">
        <v>38</v>
      </c>
      <c r="F323" s="799" t="s">
        <v>38</v>
      </c>
      <c r="G323" s="800" t="s">
        <v>44</v>
      </c>
      <c r="H323" s="800" t="s">
        <v>38</v>
      </c>
      <c r="I323" s="801" t="s">
        <v>696</v>
      </c>
      <c r="J323" s="55" t="s">
        <v>49</v>
      </c>
      <c r="K323" s="69">
        <v>2968.6</v>
      </c>
      <c r="L323" s="69">
        <f>M323-K323</f>
        <v>0</v>
      </c>
      <c r="M323" s="69">
        <v>2968.6</v>
      </c>
      <c r="N323" s="69">
        <v>2968.6</v>
      </c>
    </row>
    <row r="324" spans="1:17" s="163" customFormat="1" ht="54" x14ac:dyDescent="0.35">
      <c r="A324" s="56"/>
      <c r="B324" s="610" t="s">
        <v>74</v>
      </c>
      <c r="C324" s="68" t="s">
        <v>443</v>
      </c>
      <c r="D324" s="55" t="s">
        <v>221</v>
      </c>
      <c r="E324" s="55" t="s">
        <v>38</v>
      </c>
      <c r="F324" s="799" t="s">
        <v>38</v>
      </c>
      <c r="G324" s="800" t="s">
        <v>44</v>
      </c>
      <c r="H324" s="800" t="s">
        <v>38</v>
      </c>
      <c r="I324" s="801" t="s">
        <v>696</v>
      </c>
      <c r="J324" s="55" t="s">
        <v>75</v>
      </c>
      <c r="K324" s="69">
        <v>32576</v>
      </c>
      <c r="L324" s="69">
        <f>M324-K324</f>
        <v>0</v>
      </c>
      <c r="M324" s="69">
        <v>32576</v>
      </c>
      <c r="N324" s="69">
        <v>32576</v>
      </c>
    </row>
    <row r="325" spans="1:17" s="163" customFormat="1" ht="72" x14ac:dyDescent="0.35">
      <c r="A325" s="56"/>
      <c r="B325" s="610" t="s">
        <v>760</v>
      </c>
      <c r="C325" s="68" t="s">
        <v>443</v>
      </c>
      <c r="D325" s="55" t="s">
        <v>221</v>
      </c>
      <c r="E325" s="55" t="s">
        <v>38</v>
      </c>
      <c r="F325" s="799" t="s">
        <v>38</v>
      </c>
      <c r="G325" s="800" t="s">
        <v>44</v>
      </c>
      <c r="H325" s="800" t="s">
        <v>38</v>
      </c>
      <c r="I325" s="801" t="s">
        <v>553</v>
      </c>
      <c r="J325" s="55"/>
      <c r="K325" s="69">
        <f>K326+K327+K328</f>
        <v>13206.800000000001</v>
      </c>
      <c r="L325" s="69">
        <f t="shared" ref="L325" si="114">L326+L327+L328</f>
        <v>0</v>
      </c>
      <c r="M325" s="69">
        <f>M326+M327+M328</f>
        <v>13206.800000000001</v>
      </c>
      <c r="N325" s="69">
        <f>N326+N327+N328</f>
        <v>13018.800000000001</v>
      </c>
      <c r="Q325" s="230"/>
    </row>
    <row r="326" spans="1:17" s="163" customFormat="1" ht="54" x14ac:dyDescent="0.35">
      <c r="A326" s="56"/>
      <c r="B326" s="610" t="s">
        <v>53</v>
      </c>
      <c r="C326" s="68" t="s">
        <v>443</v>
      </c>
      <c r="D326" s="55" t="s">
        <v>221</v>
      </c>
      <c r="E326" s="55" t="s">
        <v>38</v>
      </c>
      <c r="F326" s="799" t="s">
        <v>38</v>
      </c>
      <c r="G326" s="800" t="s">
        <v>44</v>
      </c>
      <c r="H326" s="800" t="s">
        <v>38</v>
      </c>
      <c r="I326" s="801" t="s">
        <v>553</v>
      </c>
      <c r="J326" s="55" t="s">
        <v>54</v>
      </c>
      <c r="K326" s="69">
        <v>129.6</v>
      </c>
      <c r="L326" s="69">
        <f>M326-K326</f>
        <v>0</v>
      </c>
      <c r="M326" s="69">
        <v>129.6</v>
      </c>
      <c r="N326" s="69">
        <v>107.7</v>
      </c>
      <c r="Q326" s="230"/>
    </row>
    <row r="327" spans="1:17" s="163" customFormat="1" ht="36" x14ac:dyDescent="0.35">
      <c r="A327" s="56"/>
      <c r="B327" s="610" t="s">
        <v>118</v>
      </c>
      <c r="C327" s="68" t="s">
        <v>443</v>
      </c>
      <c r="D327" s="55" t="s">
        <v>221</v>
      </c>
      <c r="E327" s="55" t="s">
        <v>38</v>
      </c>
      <c r="F327" s="799" t="s">
        <v>38</v>
      </c>
      <c r="G327" s="800" t="s">
        <v>44</v>
      </c>
      <c r="H327" s="800" t="s">
        <v>38</v>
      </c>
      <c r="I327" s="801" t="s">
        <v>553</v>
      </c>
      <c r="J327" s="55" t="s">
        <v>119</v>
      </c>
      <c r="K327" s="69">
        <v>104.1</v>
      </c>
      <c r="L327" s="69">
        <f>M327-K327</f>
        <v>0</v>
      </c>
      <c r="M327" s="69">
        <v>104.1</v>
      </c>
      <c r="N327" s="69">
        <v>111.9</v>
      </c>
      <c r="Q327" s="230"/>
    </row>
    <row r="328" spans="1:17" s="163" customFormat="1" ht="54" x14ac:dyDescent="0.35">
      <c r="A328" s="56"/>
      <c r="B328" s="610" t="s">
        <v>74</v>
      </c>
      <c r="C328" s="68" t="s">
        <v>443</v>
      </c>
      <c r="D328" s="55" t="s">
        <v>221</v>
      </c>
      <c r="E328" s="55" t="s">
        <v>38</v>
      </c>
      <c r="F328" s="799" t="s">
        <v>38</v>
      </c>
      <c r="G328" s="800" t="s">
        <v>44</v>
      </c>
      <c r="H328" s="800" t="s">
        <v>38</v>
      </c>
      <c r="I328" s="801" t="s">
        <v>553</v>
      </c>
      <c r="J328" s="55" t="s">
        <v>75</v>
      </c>
      <c r="K328" s="69">
        <v>12973.1</v>
      </c>
      <c r="L328" s="69">
        <f>M328-K328</f>
        <v>0</v>
      </c>
      <c r="M328" s="69">
        <v>12973.1</v>
      </c>
      <c r="N328" s="69">
        <v>12799.2</v>
      </c>
      <c r="Q328" s="230"/>
    </row>
    <row r="329" spans="1:17" s="163" customFormat="1" ht="36" x14ac:dyDescent="0.35">
      <c r="A329" s="56"/>
      <c r="B329" s="610" t="s">
        <v>679</v>
      </c>
      <c r="C329" s="68" t="s">
        <v>443</v>
      </c>
      <c r="D329" s="55" t="s">
        <v>221</v>
      </c>
      <c r="E329" s="55" t="s">
        <v>38</v>
      </c>
      <c r="F329" s="799" t="s">
        <v>38</v>
      </c>
      <c r="G329" s="800" t="s">
        <v>44</v>
      </c>
      <c r="H329" s="800" t="s">
        <v>680</v>
      </c>
      <c r="I329" s="801" t="s">
        <v>43</v>
      </c>
      <c r="J329" s="55"/>
      <c r="K329" s="69">
        <f>K330</f>
        <v>5745.9</v>
      </c>
      <c r="L329" s="69">
        <f t="shared" ref="L329" si="115">L330</f>
        <v>0</v>
      </c>
      <c r="M329" s="69">
        <f>M330</f>
        <v>5745.9</v>
      </c>
      <c r="N329" s="69">
        <f>N330</f>
        <v>6946.4000000000005</v>
      </c>
      <c r="Q329" s="230"/>
    </row>
    <row r="330" spans="1:17" s="163" customFormat="1" ht="90" x14ac:dyDescent="0.35">
      <c r="A330" s="56"/>
      <c r="B330" s="610" t="s">
        <v>681</v>
      </c>
      <c r="C330" s="68" t="s">
        <v>443</v>
      </c>
      <c r="D330" s="55" t="s">
        <v>221</v>
      </c>
      <c r="E330" s="55" t="s">
        <v>38</v>
      </c>
      <c r="F330" s="799" t="s">
        <v>38</v>
      </c>
      <c r="G330" s="800" t="s">
        <v>44</v>
      </c>
      <c r="H330" s="800" t="s">
        <v>680</v>
      </c>
      <c r="I330" s="801" t="s">
        <v>682</v>
      </c>
      <c r="J330" s="55"/>
      <c r="K330" s="69">
        <f>K331+K332</f>
        <v>5745.9</v>
      </c>
      <c r="L330" s="69">
        <f t="shared" ref="L330" si="116">L331+L332</f>
        <v>0</v>
      </c>
      <c r="M330" s="69">
        <f>M331+M332</f>
        <v>5745.9</v>
      </c>
      <c r="N330" s="69">
        <f>N331+N332</f>
        <v>6946.4000000000005</v>
      </c>
      <c r="Q330" s="230"/>
    </row>
    <row r="331" spans="1:17" s="163" customFormat="1" ht="108" x14ac:dyDescent="0.35">
      <c r="A331" s="56"/>
      <c r="B331" s="610" t="s">
        <v>48</v>
      </c>
      <c r="C331" s="68" t="s">
        <v>443</v>
      </c>
      <c r="D331" s="55" t="s">
        <v>221</v>
      </c>
      <c r="E331" s="55" t="s">
        <v>38</v>
      </c>
      <c r="F331" s="799" t="s">
        <v>38</v>
      </c>
      <c r="G331" s="800" t="s">
        <v>44</v>
      </c>
      <c r="H331" s="800" t="s">
        <v>680</v>
      </c>
      <c r="I331" s="801" t="s">
        <v>682</v>
      </c>
      <c r="J331" s="55" t="s">
        <v>49</v>
      </c>
      <c r="K331" s="69">
        <v>420.4</v>
      </c>
      <c r="L331" s="69">
        <f>M331-K331</f>
        <v>0</v>
      </c>
      <c r="M331" s="69">
        <v>420.4</v>
      </c>
      <c r="N331" s="69">
        <v>508.3</v>
      </c>
      <c r="Q331" s="230"/>
    </row>
    <row r="332" spans="1:17" s="163" customFormat="1" ht="54" x14ac:dyDescent="0.35">
      <c r="A332" s="56"/>
      <c r="B332" s="610" t="s">
        <v>74</v>
      </c>
      <c r="C332" s="68" t="s">
        <v>443</v>
      </c>
      <c r="D332" s="55" t="s">
        <v>221</v>
      </c>
      <c r="E332" s="55" t="s">
        <v>38</v>
      </c>
      <c r="F332" s="799" t="s">
        <v>38</v>
      </c>
      <c r="G332" s="800" t="s">
        <v>44</v>
      </c>
      <c r="H332" s="800" t="s">
        <v>680</v>
      </c>
      <c r="I332" s="801" t="s">
        <v>682</v>
      </c>
      <c r="J332" s="55" t="s">
        <v>75</v>
      </c>
      <c r="K332" s="69">
        <v>5325.5</v>
      </c>
      <c r="L332" s="69">
        <f>M332-K332</f>
        <v>0</v>
      </c>
      <c r="M332" s="69">
        <v>5325.5</v>
      </c>
      <c r="N332" s="69">
        <v>6438.1</v>
      </c>
      <c r="Q332" s="230"/>
    </row>
    <row r="333" spans="1:17" s="167" customFormat="1" ht="54" x14ac:dyDescent="0.35">
      <c r="A333" s="56"/>
      <c r="B333" s="610" t="s">
        <v>210</v>
      </c>
      <c r="C333" s="68" t="s">
        <v>443</v>
      </c>
      <c r="D333" s="55" t="s">
        <v>221</v>
      </c>
      <c r="E333" s="55" t="s">
        <v>38</v>
      </c>
      <c r="F333" s="799" t="s">
        <v>38</v>
      </c>
      <c r="G333" s="800" t="s">
        <v>29</v>
      </c>
      <c r="H333" s="800" t="s">
        <v>42</v>
      </c>
      <c r="I333" s="801" t="s">
        <v>43</v>
      </c>
      <c r="J333" s="55"/>
      <c r="K333" s="69">
        <f t="shared" ref="K333:N334" si="117">K334</f>
        <v>2291.5</v>
      </c>
      <c r="L333" s="69">
        <f t="shared" si="117"/>
        <v>0</v>
      </c>
      <c r="M333" s="69">
        <f t="shared" si="117"/>
        <v>2291.5</v>
      </c>
      <c r="N333" s="69">
        <f t="shared" si="117"/>
        <v>2262.3000000000002</v>
      </c>
    </row>
    <row r="334" spans="1:17" s="167" customFormat="1" ht="36" x14ac:dyDescent="0.35">
      <c r="A334" s="56"/>
      <c r="B334" s="610" t="s">
        <v>296</v>
      </c>
      <c r="C334" s="68" t="s">
        <v>443</v>
      </c>
      <c r="D334" s="55" t="s">
        <v>221</v>
      </c>
      <c r="E334" s="55" t="s">
        <v>38</v>
      </c>
      <c r="F334" s="799" t="s">
        <v>38</v>
      </c>
      <c r="G334" s="800" t="s">
        <v>29</v>
      </c>
      <c r="H334" s="800" t="s">
        <v>36</v>
      </c>
      <c r="I334" s="801" t="s">
        <v>43</v>
      </c>
      <c r="J334" s="55"/>
      <c r="K334" s="69">
        <f t="shared" si="117"/>
        <v>2291.5</v>
      </c>
      <c r="L334" s="69">
        <f t="shared" si="117"/>
        <v>0</v>
      </c>
      <c r="M334" s="69">
        <f t="shared" si="117"/>
        <v>2291.5</v>
      </c>
      <c r="N334" s="69">
        <f t="shared" si="117"/>
        <v>2262.3000000000002</v>
      </c>
    </row>
    <row r="335" spans="1:17" s="167" customFormat="1" ht="252" x14ac:dyDescent="0.35">
      <c r="A335" s="56"/>
      <c r="B335" s="610" t="s">
        <v>454</v>
      </c>
      <c r="C335" s="68" t="s">
        <v>443</v>
      </c>
      <c r="D335" s="55" t="s">
        <v>221</v>
      </c>
      <c r="E335" s="55" t="s">
        <v>38</v>
      </c>
      <c r="F335" s="799" t="s">
        <v>38</v>
      </c>
      <c r="G335" s="800" t="s">
        <v>29</v>
      </c>
      <c r="H335" s="800" t="s">
        <v>36</v>
      </c>
      <c r="I335" s="801" t="s">
        <v>366</v>
      </c>
      <c r="J335" s="55"/>
      <c r="K335" s="69">
        <f>SUM(K336:K336)</f>
        <v>2291.5</v>
      </c>
      <c r="L335" s="69">
        <f t="shared" ref="L335" si="118">SUM(L336:L336)</f>
        <v>0</v>
      </c>
      <c r="M335" s="69">
        <f>SUM(M336:M336)</f>
        <v>2291.5</v>
      </c>
      <c r="N335" s="69">
        <f>SUM(N336:N336)</f>
        <v>2262.3000000000002</v>
      </c>
    </row>
    <row r="336" spans="1:17" s="167" customFormat="1" ht="54" x14ac:dyDescent="0.35">
      <c r="A336" s="56"/>
      <c r="B336" s="610" t="s">
        <v>74</v>
      </c>
      <c r="C336" s="68" t="s">
        <v>443</v>
      </c>
      <c r="D336" s="55" t="s">
        <v>221</v>
      </c>
      <c r="E336" s="55" t="s">
        <v>38</v>
      </c>
      <c r="F336" s="799" t="s">
        <v>38</v>
      </c>
      <c r="G336" s="800" t="s">
        <v>29</v>
      </c>
      <c r="H336" s="800" t="s">
        <v>36</v>
      </c>
      <c r="I336" s="801" t="s">
        <v>366</v>
      </c>
      <c r="J336" s="55" t="s">
        <v>75</v>
      </c>
      <c r="K336" s="69">
        <v>2291.5</v>
      </c>
      <c r="L336" s="69">
        <f>M336-K336</f>
        <v>0</v>
      </c>
      <c r="M336" s="69">
        <v>2291.5</v>
      </c>
      <c r="N336" s="69">
        <v>2262.3000000000002</v>
      </c>
    </row>
    <row r="337" spans="1:14" s="167" customFormat="1" ht="18" x14ac:dyDescent="0.35">
      <c r="A337" s="56"/>
      <c r="B337" s="610" t="s">
        <v>369</v>
      </c>
      <c r="C337" s="68" t="s">
        <v>443</v>
      </c>
      <c r="D337" s="55" t="s">
        <v>221</v>
      </c>
      <c r="E337" s="55" t="s">
        <v>61</v>
      </c>
      <c r="F337" s="799"/>
      <c r="G337" s="800"/>
      <c r="H337" s="800"/>
      <c r="I337" s="801"/>
      <c r="J337" s="55"/>
      <c r="K337" s="69">
        <f>K338</f>
        <v>62387.199999999997</v>
      </c>
      <c r="L337" s="69">
        <f t="shared" ref="L337" si="119">L338</f>
        <v>0</v>
      </c>
      <c r="M337" s="69">
        <f>M338</f>
        <v>62387.199999999997</v>
      </c>
      <c r="N337" s="69">
        <f>N338</f>
        <v>61490</v>
      </c>
    </row>
    <row r="338" spans="1:14" s="167" customFormat="1" ht="54" x14ac:dyDescent="0.35">
      <c r="A338" s="56"/>
      <c r="B338" s="677" t="s">
        <v>203</v>
      </c>
      <c r="C338" s="68" t="s">
        <v>443</v>
      </c>
      <c r="D338" s="55" t="s">
        <v>221</v>
      </c>
      <c r="E338" s="55" t="s">
        <v>61</v>
      </c>
      <c r="F338" s="799" t="s">
        <v>38</v>
      </c>
      <c r="G338" s="800" t="s">
        <v>41</v>
      </c>
      <c r="H338" s="800" t="s">
        <v>42</v>
      </c>
      <c r="I338" s="801" t="s">
        <v>43</v>
      </c>
      <c r="J338" s="55"/>
      <c r="K338" s="69">
        <f t="shared" ref="K338:N339" si="120">K339</f>
        <v>62387.199999999997</v>
      </c>
      <c r="L338" s="69">
        <f t="shared" si="120"/>
        <v>0</v>
      </c>
      <c r="M338" s="69">
        <f t="shared" si="120"/>
        <v>62387.199999999997</v>
      </c>
      <c r="N338" s="69">
        <f t="shared" si="120"/>
        <v>61490</v>
      </c>
    </row>
    <row r="339" spans="1:14" s="167" customFormat="1" ht="18" x14ac:dyDescent="0.35">
      <c r="A339" s="56"/>
      <c r="B339" s="610" t="s">
        <v>208</v>
      </c>
      <c r="C339" s="68" t="s">
        <v>443</v>
      </c>
      <c r="D339" s="55" t="s">
        <v>221</v>
      </c>
      <c r="E339" s="55" t="s">
        <v>61</v>
      </c>
      <c r="F339" s="799" t="s">
        <v>38</v>
      </c>
      <c r="G339" s="800" t="s">
        <v>87</v>
      </c>
      <c r="H339" s="800" t="s">
        <v>42</v>
      </c>
      <c r="I339" s="801" t="s">
        <v>43</v>
      </c>
      <c r="J339" s="55"/>
      <c r="K339" s="69">
        <f t="shared" si="120"/>
        <v>62387.199999999997</v>
      </c>
      <c r="L339" s="69">
        <f t="shared" si="120"/>
        <v>0</v>
      </c>
      <c r="M339" s="69">
        <f t="shared" si="120"/>
        <v>62387.199999999997</v>
      </c>
      <c r="N339" s="69">
        <f t="shared" si="120"/>
        <v>61490</v>
      </c>
    </row>
    <row r="340" spans="1:14" s="167" customFormat="1" ht="36" x14ac:dyDescent="0.35">
      <c r="A340" s="56"/>
      <c r="B340" s="610" t="s">
        <v>290</v>
      </c>
      <c r="C340" s="68" t="s">
        <v>443</v>
      </c>
      <c r="D340" s="55" t="s">
        <v>221</v>
      </c>
      <c r="E340" s="55" t="s">
        <v>61</v>
      </c>
      <c r="F340" s="799" t="s">
        <v>38</v>
      </c>
      <c r="G340" s="800" t="s">
        <v>87</v>
      </c>
      <c r="H340" s="800" t="s">
        <v>36</v>
      </c>
      <c r="I340" s="801" t="s">
        <v>43</v>
      </c>
      <c r="J340" s="55"/>
      <c r="K340" s="69">
        <f>K341+K350+K352+K343+K345+K347</f>
        <v>62387.199999999997</v>
      </c>
      <c r="L340" s="69">
        <f t="shared" ref="L340" si="121">L341+L350+L352+L343+L345+L347</f>
        <v>0</v>
      </c>
      <c r="M340" s="69">
        <f>M341+M350+M352+M343+M345+M347</f>
        <v>62387.199999999997</v>
      </c>
      <c r="N340" s="69">
        <f>N341+N350+N352+N343+N345+N347</f>
        <v>61490</v>
      </c>
    </row>
    <row r="341" spans="1:14" s="167" customFormat="1" ht="36" x14ac:dyDescent="0.35">
      <c r="A341" s="56"/>
      <c r="B341" s="686" t="s">
        <v>484</v>
      </c>
      <c r="C341" s="68" t="s">
        <v>443</v>
      </c>
      <c r="D341" s="55" t="s">
        <v>221</v>
      </c>
      <c r="E341" s="55" t="s">
        <v>61</v>
      </c>
      <c r="F341" s="799" t="s">
        <v>38</v>
      </c>
      <c r="G341" s="800" t="s">
        <v>87</v>
      </c>
      <c r="H341" s="800" t="s">
        <v>36</v>
      </c>
      <c r="I341" s="801" t="s">
        <v>89</v>
      </c>
      <c r="J341" s="55"/>
      <c r="K341" s="69">
        <f>K342</f>
        <v>38846</v>
      </c>
      <c r="L341" s="69">
        <f t="shared" ref="L341" si="122">L342</f>
        <v>0</v>
      </c>
      <c r="M341" s="69">
        <f>M342</f>
        <v>38846</v>
      </c>
      <c r="N341" s="69">
        <f>N342</f>
        <v>38922.800000000003</v>
      </c>
    </row>
    <row r="342" spans="1:14" s="167" customFormat="1" ht="54" x14ac:dyDescent="0.35">
      <c r="A342" s="56"/>
      <c r="B342" s="610" t="s">
        <v>74</v>
      </c>
      <c r="C342" s="68" t="s">
        <v>443</v>
      </c>
      <c r="D342" s="55" t="s">
        <v>221</v>
      </c>
      <c r="E342" s="55" t="s">
        <v>61</v>
      </c>
      <c r="F342" s="799" t="s">
        <v>38</v>
      </c>
      <c r="G342" s="800" t="s">
        <v>87</v>
      </c>
      <c r="H342" s="800" t="s">
        <v>36</v>
      </c>
      <c r="I342" s="801" t="s">
        <v>89</v>
      </c>
      <c r="J342" s="55" t="s">
        <v>75</v>
      </c>
      <c r="K342" s="69">
        <v>38846</v>
      </c>
      <c r="L342" s="69">
        <f>M342-K342</f>
        <v>0</v>
      </c>
      <c r="M342" s="69">
        <v>38846</v>
      </c>
      <c r="N342" s="69">
        <v>38922.800000000003</v>
      </c>
    </row>
    <row r="343" spans="1:14" s="167" customFormat="1" ht="54" x14ac:dyDescent="0.35">
      <c r="A343" s="56"/>
      <c r="B343" s="610" t="s">
        <v>205</v>
      </c>
      <c r="C343" s="68" t="s">
        <v>443</v>
      </c>
      <c r="D343" s="55" t="s">
        <v>221</v>
      </c>
      <c r="E343" s="55" t="s">
        <v>61</v>
      </c>
      <c r="F343" s="799" t="s">
        <v>38</v>
      </c>
      <c r="G343" s="800" t="s">
        <v>87</v>
      </c>
      <c r="H343" s="800" t="s">
        <v>36</v>
      </c>
      <c r="I343" s="801" t="s">
        <v>287</v>
      </c>
      <c r="J343" s="55"/>
      <c r="K343" s="69">
        <f>K344</f>
        <v>4254.1000000000004</v>
      </c>
      <c r="L343" s="69">
        <f t="shared" ref="L343" si="123">L344</f>
        <v>0</v>
      </c>
      <c r="M343" s="69">
        <f>M344</f>
        <v>4254.1000000000004</v>
      </c>
      <c r="N343" s="69">
        <f>N344</f>
        <v>3275.6</v>
      </c>
    </row>
    <row r="344" spans="1:14" s="167" customFormat="1" ht="54" x14ac:dyDescent="0.35">
      <c r="A344" s="56"/>
      <c r="B344" s="677" t="s">
        <v>74</v>
      </c>
      <c r="C344" s="68" t="s">
        <v>443</v>
      </c>
      <c r="D344" s="55" t="s">
        <v>221</v>
      </c>
      <c r="E344" s="55" t="s">
        <v>61</v>
      </c>
      <c r="F344" s="799" t="s">
        <v>38</v>
      </c>
      <c r="G344" s="800" t="s">
        <v>87</v>
      </c>
      <c r="H344" s="800" t="s">
        <v>36</v>
      </c>
      <c r="I344" s="801" t="s">
        <v>287</v>
      </c>
      <c r="J344" s="55" t="s">
        <v>75</v>
      </c>
      <c r="K344" s="69">
        <v>4254.1000000000004</v>
      </c>
      <c r="L344" s="69">
        <f>M344-K344</f>
        <v>0</v>
      </c>
      <c r="M344" s="69">
        <v>4254.1000000000004</v>
      </c>
      <c r="N344" s="69">
        <v>3275.6</v>
      </c>
    </row>
    <row r="345" spans="1:14" s="167" customFormat="1" ht="36" x14ac:dyDescent="0.35">
      <c r="A345" s="56"/>
      <c r="B345" s="610" t="s">
        <v>206</v>
      </c>
      <c r="C345" s="68" t="s">
        <v>443</v>
      </c>
      <c r="D345" s="55" t="s">
        <v>221</v>
      </c>
      <c r="E345" s="55" t="s">
        <v>61</v>
      </c>
      <c r="F345" s="799" t="s">
        <v>38</v>
      </c>
      <c r="G345" s="800" t="s">
        <v>87</v>
      </c>
      <c r="H345" s="800" t="s">
        <v>36</v>
      </c>
      <c r="I345" s="801" t="s">
        <v>288</v>
      </c>
      <c r="J345" s="55"/>
      <c r="K345" s="69">
        <f>K346</f>
        <v>46.9</v>
      </c>
      <c r="L345" s="69">
        <f t="shared" ref="L345" si="124">L346</f>
        <v>0</v>
      </c>
      <c r="M345" s="69">
        <f>M346</f>
        <v>46.9</v>
      </c>
      <c r="N345" s="69">
        <f>N346</f>
        <v>46.9</v>
      </c>
    </row>
    <row r="346" spans="1:14" s="167" customFormat="1" ht="54" x14ac:dyDescent="0.35">
      <c r="A346" s="56"/>
      <c r="B346" s="677" t="s">
        <v>74</v>
      </c>
      <c r="C346" s="68" t="s">
        <v>443</v>
      </c>
      <c r="D346" s="55" t="s">
        <v>221</v>
      </c>
      <c r="E346" s="55" t="s">
        <v>61</v>
      </c>
      <c r="F346" s="799" t="s">
        <v>38</v>
      </c>
      <c r="G346" s="800" t="s">
        <v>87</v>
      </c>
      <c r="H346" s="800" t="s">
        <v>36</v>
      </c>
      <c r="I346" s="801" t="s">
        <v>288</v>
      </c>
      <c r="J346" s="55" t="s">
        <v>75</v>
      </c>
      <c r="K346" s="69">
        <f>46.9</f>
        <v>46.9</v>
      </c>
      <c r="L346" s="69">
        <f>M346-K346</f>
        <v>0</v>
      </c>
      <c r="M346" s="69">
        <f>46.9</f>
        <v>46.9</v>
      </c>
      <c r="N346" s="69">
        <v>46.9</v>
      </c>
    </row>
    <row r="347" spans="1:14" s="167" customFormat="1" ht="54" x14ac:dyDescent="0.35">
      <c r="A347" s="56"/>
      <c r="B347" s="677" t="s">
        <v>689</v>
      </c>
      <c r="C347" s="68" t="s">
        <v>443</v>
      </c>
      <c r="D347" s="55" t="s">
        <v>221</v>
      </c>
      <c r="E347" s="55" t="s">
        <v>61</v>
      </c>
      <c r="F347" s="799" t="s">
        <v>38</v>
      </c>
      <c r="G347" s="800" t="s">
        <v>87</v>
      </c>
      <c r="H347" s="800" t="s">
        <v>36</v>
      </c>
      <c r="I347" s="801" t="s">
        <v>690</v>
      </c>
      <c r="J347" s="55"/>
      <c r="K347" s="69">
        <f>K348+K349</f>
        <v>6127.5</v>
      </c>
      <c r="L347" s="69">
        <f t="shared" ref="L347" si="125">L348+L349</f>
        <v>0</v>
      </c>
      <c r="M347" s="69">
        <f>M348+M349</f>
        <v>6127.5</v>
      </c>
      <c r="N347" s="69">
        <f>N348+N349</f>
        <v>6127.5</v>
      </c>
    </row>
    <row r="348" spans="1:14" s="167" customFormat="1" ht="54" x14ac:dyDescent="0.35">
      <c r="A348" s="56"/>
      <c r="B348" s="677" t="s">
        <v>74</v>
      </c>
      <c r="C348" s="68" t="s">
        <v>443</v>
      </c>
      <c r="D348" s="55" t="s">
        <v>221</v>
      </c>
      <c r="E348" s="55" t="s">
        <v>61</v>
      </c>
      <c r="F348" s="799" t="s">
        <v>38</v>
      </c>
      <c r="G348" s="800" t="s">
        <v>87</v>
      </c>
      <c r="H348" s="800" t="s">
        <v>36</v>
      </c>
      <c r="I348" s="801" t="s">
        <v>690</v>
      </c>
      <c r="J348" s="55" t="s">
        <v>75</v>
      </c>
      <c r="K348" s="69">
        <v>6072.6</v>
      </c>
      <c r="L348" s="69">
        <f>M348-K348</f>
        <v>0</v>
      </c>
      <c r="M348" s="69">
        <v>6072.6</v>
      </c>
      <c r="N348" s="69">
        <v>6072.6</v>
      </c>
    </row>
    <row r="349" spans="1:14" s="167" customFormat="1" ht="18" x14ac:dyDescent="0.35">
      <c r="A349" s="56"/>
      <c r="B349" s="677" t="s">
        <v>55</v>
      </c>
      <c r="C349" s="68" t="s">
        <v>443</v>
      </c>
      <c r="D349" s="55" t="s">
        <v>221</v>
      </c>
      <c r="E349" s="55" t="s">
        <v>61</v>
      </c>
      <c r="F349" s="799" t="s">
        <v>38</v>
      </c>
      <c r="G349" s="800" t="s">
        <v>87</v>
      </c>
      <c r="H349" s="800" t="s">
        <v>36</v>
      </c>
      <c r="I349" s="801" t="s">
        <v>690</v>
      </c>
      <c r="J349" s="55" t="s">
        <v>56</v>
      </c>
      <c r="K349" s="69">
        <v>54.9</v>
      </c>
      <c r="L349" s="69">
        <f>M349-K349</f>
        <v>0</v>
      </c>
      <c r="M349" s="69">
        <v>54.9</v>
      </c>
      <c r="N349" s="69">
        <v>54.9</v>
      </c>
    </row>
    <row r="350" spans="1:14" s="167" customFormat="1" ht="180" x14ac:dyDescent="0.35">
      <c r="A350" s="56"/>
      <c r="B350" s="610" t="s">
        <v>282</v>
      </c>
      <c r="C350" s="68" t="s">
        <v>443</v>
      </c>
      <c r="D350" s="55" t="s">
        <v>221</v>
      </c>
      <c r="E350" s="55" t="s">
        <v>61</v>
      </c>
      <c r="F350" s="799" t="s">
        <v>38</v>
      </c>
      <c r="G350" s="800" t="s">
        <v>87</v>
      </c>
      <c r="H350" s="800" t="s">
        <v>36</v>
      </c>
      <c r="I350" s="801" t="s">
        <v>283</v>
      </c>
      <c r="J350" s="55"/>
      <c r="K350" s="69">
        <f>K351</f>
        <v>112.7</v>
      </c>
      <c r="L350" s="69">
        <f t="shared" ref="L350" si="126">L351</f>
        <v>0</v>
      </c>
      <c r="M350" s="69">
        <f>M351</f>
        <v>112.7</v>
      </c>
      <c r="N350" s="69">
        <f>N351</f>
        <v>117.2</v>
      </c>
    </row>
    <row r="351" spans="1:14" s="167" customFormat="1" ht="54" x14ac:dyDescent="0.35">
      <c r="A351" s="56"/>
      <c r="B351" s="610" t="s">
        <v>74</v>
      </c>
      <c r="C351" s="68" t="s">
        <v>443</v>
      </c>
      <c r="D351" s="55" t="s">
        <v>221</v>
      </c>
      <c r="E351" s="55" t="s">
        <v>61</v>
      </c>
      <c r="F351" s="799" t="s">
        <v>38</v>
      </c>
      <c r="G351" s="800" t="s">
        <v>87</v>
      </c>
      <c r="H351" s="800" t="s">
        <v>36</v>
      </c>
      <c r="I351" s="801" t="s">
        <v>283</v>
      </c>
      <c r="J351" s="55" t="s">
        <v>75</v>
      </c>
      <c r="K351" s="69">
        <v>112.7</v>
      </c>
      <c r="L351" s="69">
        <f>M351-K351</f>
        <v>0</v>
      </c>
      <c r="M351" s="69">
        <v>112.7</v>
      </c>
      <c r="N351" s="69">
        <v>117.2</v>
      </c>
    </row>
    <row r="352" spans="1:14" s="167" customFormat="1" ht="108" x14ac:dyDescent="0.35">
      <c r="A352" s="56"/>
      <c r="B352" s="610" t="s">
        <v>365</v>
      </c>
      <c r="C352" s="68" t="s">
        <v>443</v>
      </c>
      <c r="D352" s="55" t="s">
        <v>221</v>
      </c>
      <c r="E352" s="55" t="s">
        <v>61</v>
      </c>
      <c r="F352" s="799" t="s">
        <v>38</v>
      </c>
      <c r="G352" s="800" t="s">
        <v>87</v>
      </c>
      <c r="H352" s="800" t="s">
        <v>36</v>
      </c>
      <c r="I352" s="801" t="s">
        <v>284</v>
      </c>
      <c r="J352" s="55"/>
      <c r="K352" s="69">
        <f>K353</f>
        <v>13000</v>
      </c>
      <c r="L352" s="69">
        <f t="shared" ref="L352" si="127">L353</f>
        <v>0</v>
      </c>
      <c r="M352" s="69">
        <f>M353</f>
        <v>13000</v>
      </c>
      <c r="N352" s="69">
        <f>N353</f>
        <v>13000</v>
      </c>
    </row>
    <row r="353" spans="1:14" s="167" customFormat="1" ht="54" x14ac:dyDescent="0.35">
      <c r="A353" s="56"/>
      <c r="B353" s="610" t="s">
        <v>74</v>
      </c>
      <c r="C353" s="68" t="s">
        <v>443</v>
      </c>
      <c r="D353" s="55" t="s">
        <v>221</v>
      </c>
      <c r="E353" s="55" t="s">
        <v>61</v>
      </c>
      <c r="F353" s="799" t="s">
        <v>38</v>
      </c>
      <c r="G353" s="800" t="s">
        <v>87</v>
      </c>
      <c r="H353" s="800" t="s">
        <v>36</v>
      </c>
      <c r="I353" s="801" t="s">
        <v>284</v>
      </c>
      <c r="J353" s="55" t="s">
        <v>75</v>
      </c>
      <c r="K353" s="69">
        <v>13000</v>
      </c>
      <c r="L353" s="69">
        <f>M353-K353</f>
        <v>0</v>
      </c>
      <c r="M353" s="69">
        <v>13000</v>
      </c>
      <c r="N353" s="69">
        <v>13000</v>
      </c>
    </row>
    <row r="354" spans="1:14" s="167" customFormat="1" ht="18" x14ac:dyDescent="0.35">
      <c r="A354" s="56"/>
      <c r="B354" s="610" t="s">
        <v>184</v>
      </c>
      <c r="C354" s="68" t="s">
        <v>443</v>
      </c>
      <c r="D354" s="55" t="s">
        <v>221</v>
      </c>
      <c r="E354" s="55" t="s">
        <v>77</v>
      </c>
      <c r="F354" s="799"/>
      <c r="G354" s="800"/>
      <c r="H354" s="800"/>
      <c r="I354" s="801"/>
      <c r="J354" s="55"/>
      <c r="K354" s="69">
        <f>K355</f>
        <v>92599.1</v>
      </c>
      <c r="L354" s="69">
        <f t="shared" ref="L354" si="128">L355</f>
        <v>0</v>
      </c>
      <c r="M354" s="69">
        <f>M355</f>
        <v>92599.1</v>
      </c>
      <c r="N354" s="69">
        <f>N355</f>
        <v>93250.5</v>
      </c>
    </row>
    <row r="355" spans="1:14" s="167" customFormat="1" ht="54" x14ac:dyDescent="0.35">
      <c r="A355" s="56"/>
      <c r="B355" s="610" t="s">
        <v>203</v>
      </c>
      <c r="C355" s="68" t="s">
        <v>443</v>
      </c>
      <c r="D355" s="55" t="s">
        <v>221</v>
      </c>
      <c r="E355" s="55" t="s">
        <v>77</v>
      </c>
      <c r="F355" s="799" t="s">
        <v>38</v>
      </c>
      <c r="G355" s="800" t="s">
        <v>41</v>
      </c>
      <c r="H355" s="800" t="s">
        <v>42</v>
      </c>
      <c r="I355" s="801" t="s">
        <v>43</v>
      </c>
      <c r="J355" s="55"/>
      <c r="K355" s="69">
        <f t="shared" ref="K355:N355" si="129">K356</f>
        <v>92599.1</v>
      </c>
      <c r="L355" s="69">
        <f t="shared" si="129"/>
        <v>0</v>
      </c>
      <c r="M355" s="69">
        <f t="shared" si="129"/>
        <v>92599.1</v>
      </c>
      <c r="N355" s="69">
        <f t="shared" si="129"/>
        <v>93250.5</v>
      </c>
    </row>
    <row r="356" spans="1:14" s="167" customFormat="1" ht="54" x14ac:dyDescent="0.35">
      <c r="A356" s="56"/>
      <c r="B356" s="610" t="s">
        <v>210</v>
      </c>
      <c r="C356" s="68" t="s">
        <v>443</v>
      </c>
      <c r="D356" s="55" t="s">
        <v>221</v>
      </c>
      <c r="E356" s="55" t="s">
        <v>77</v>
      </c>
      <c r="F356" s="799" t="s">
        <v>38</v>
      </c>
      <c r="G356" s="800" t="s">
        <v>29</v>
      </c>
      <c r="H356" s="800" t="s">
        <v>42</v>
      </c>
      <c r="I356" s="801" t="s">
        <v>43</v>
      </c>
      <c r="J356" s="55"/>
      <c r="K356" s="69">
        <f>K357+K370</f>
        <v>92599.1</v>
      </c>
      <c r="L356" s="69">
        <f t="shared" ref="L356" si="130">L357+L370</f>
        <v>0</v>
      </c>
      <c r="M356" s="69">
        <f>M357+M370</f>
        <v>92599.1</v>
      </c>
      <c r="N356" s="69">
        <f>N357+N370</f>
        <v>93250.5</v>
      </c>
    </row>
    <row r="357" spans="1:14" s="167" customFormat="1" ht="36" x14ac:dyDescent="0.35">
      <c r="A357" s="56"/>
      <c r="B357" s="610" t="s">
        <v>296</v>
      </c>
      <c r="C357" s="68" t="s">
        <v>443</v>
      </c>
      <c r="D357" s="55" t="s">
        <v>221</v>
      </c>
      <c r="E357" s="55" t="s">
        <v>77</v>
      </c>
      <c r="F357" s="799" t="s">
        <v>38</v>
      </c>
      <c r="G357" s="800" t="s">
        <v>29</v>
      </c>
      <c r="H357" s="800" t="s">
        <v>36</v>
      </c>
      <c r="I357" s="801" t="s">
        <v>43</v>
      </c>
      <c r="J357" s="55"/>
      <c r="K357" s="69">
        <f>K358+K362+K367</f>
        <v>86808.200000000012</v>
      </c>
      <c r="L357" s="69">
        <f t="shared" ref="L357" si="131">L358+L362+L367</f>
        <v>0</v>
      </c>
      <c r="M357" s="69">
        <f>M358+M362+M367</f>
        <v>86808.200000000012</v>
      </c>
      <c r="N357" s="69">
        <f>N358+N362+N367</f>
        <v>87228.5</v>
      </c>
    </row>
    <row r="358" spans="1:14" s="167" customFormat="1" ht="36" x14ac:dyDescent="0.35">
      <c r="A358" s="56"/>
      <c r="B358" s="610" t="s">
        <v>46</v>
      </c>
      <c r="C358" s="68" t="s">
        <v>443</v>
      </c>
      <c r="D358" s="55" t="s">
        <v>221</v>
      </c>
      <c r="E358" s="55" t="s">
        <v>77</v>
      </c>
      <c r="F358" s="799" t="s">
        <v>38</v>
      </c>
      <c r="G358" s="800" t="s">
        <v>29</v>
      </c>
      <c r="H358" s="800" t="s">
        <v>36</v>
      </c>
      <c r="I358" s="801" t="s">
        <v>47</v>
      </c>
      <c r="J358" s="55"/>
      <c r="K358" s="69">
        <f>K359+K360+K361</f>
        <v>14320.5</v>
      </c>
      <c r="L358" s="69">
        <f t="shared" ref="L358" si="132">L359+L360+L361</f>
        <v>0</v>
      </c>
      <c r="M358" s="69">
        <f>M359+M360+M361</f>
        <v>14320.5</v>
      </c>
      <c r="N358" s="69">
        <f>N359+N360+N361</f>
        <v>14327.400000000001</v>
      </c>
    </row>
    <row r="359" spans="1:14" s="167" customFormat="1" ht="108" x14ac:dyDescent="0.35">
      <c r="A359" s="56"/>
      <c r="B359" s="610" t="s">
        <v>48</v>
      </c>
      <c r="C359" s="68" t="s">
        <v>443</v>
      </c>
      <c r="D359" s="55" t="s">
        <v>221</v>
      </c>
      <c r="E359" s="55" t="s">
        <v>77</v>
      </c>
      <c r="F359" s="799" t="s">
        <v>38</v>
      </c>
      <c r="G359" s="800" t="s">
        <v>29</v>
      </c>
      <c r="H359" s="800" t="s">
        <v>36</v>
      </c>
      <c r="I359" s="801" t="s">
        <v>47</v>
      </c>
      <c r="J359" s="55" t="s">
        <v>49</v>
      </c>
      <c r="K359" s="69">
        <v>13219.6</v>
      </c>
      <c r="L359" s="69">
        <f>M359-K359</f>
        <v>0</v>
      </c>
      <c r="M359" s="69">
        <v>13219.6</v>
      </c>
      <c r="N359" s="69">
        <v>13219.6</v>
      </c>
    </row>
    <row r="360" spans="1:14" s="167" customFormat="1" ht="54" x14ac:dyDescent="0.35">
      <c r="A360" s="56"/>
      <c r="B360" s="610" t="s">
        <v>53</v>
      </c>
      <c r="C360" s="68" t="s">
        <v>443</v>
      </c>
      <c r="D360" s="55" t="s">
        <v>221</v>
      </c>
      <c r="E360" s="55" t="s">
        <v>77</v>
      </c>
      <c r="F360" s="799" t="s">
        <v>38</v>
      </c>
      <c r="G360" s="800" t="s">
        <v>29</v>
      </c>
      <c r="H360" s="800" t="s">
        <v>36</v>
      </c>
      <c r="I360" s="801" t="s">
        <v>47</v>
      </c>
      <c r="J360" s="55" t="s">
        <v>54</v>
      </c>
      <c r="K360" s="69">
        <v>1084.5999999999999</v>
      </c>
      <c r="L360" s="69">
        <f>M360-K360</f>
        <v>0</v>
      </c>
      <c r="M360" s="69">
        <v>1084.5999999999999</v>
      </c>
      <c r="N360" s="69">
        <v>1091.7</v>
      </c>
    </row>
    <row r="361" spans="1:14" s="167" customFormat="1" ht="18" x14ac:dyDescent="0.35">
      <c r="A361" s="56"/>
      <c r="B361" s="610" t="s">
        <v>55</v>
      </c>
      <c r="C361" s="68" t="s">
        <v>443</v>
      </c>
      <c r="D361" s="55" t="s">
        <v>221</v>
      </c>
      <c r="E361" s="55" t="s">
        <v>77</v>
      </c>
      <c r="F361" s="799" t="s">
        <v>38</v>
      </c>
      <c r="G361" s="800" t="s">
        <v>29</v>
      </c>
      <c r="H361" s="800" t="s">
        <v>36</v>
      </c>
      <c r="I361" s="801" t="s">
        <v>47</v>
      </c>
      <c r="J361" s="55" t="s">
        <v>56</v>
      </c>
      <c r="K361" s="69">
        <v>16.3</v>
      </c>
      <c r="L361" s="69">
        <f>M361-K361</f>
        <v>0</v>
      </c>
      <c r="M361" s="69">
        <v>16.3</v>
      </c>
      <c r="N361" s="69">
        <v>16.100000000000001</v>
      </c>
    </row>
    <row r="362" spans="1:14" s="167" customFormat="1" ht="36" x14ac:dyDescent="0.35">
      <c r="A362" s="56"/>
      <c r="B362" s="686" t="s">
        <v>484</v>
      </c>
      <c r="C362" s="68" t="s">
        <v>443</v>
      </c>
      <c r="D362" s="55" t="s">
        <v>221</v>
      </c>
      <c r="E362" s="55" t="s">
        <v>77</v>
      </c>
      <c r="F362" s="799" t="s">
        <v>38</v>
      </c>
      <c r="G362" s="800" t="s">
        <v>29</v>
      </c>
      <c r="H362" s="800" t="s">
        <v>36</v>
      </c>
      <c r="I362" s="801" t="s">
        <v>89</v>
      </c>
      <c r="J362" s="55"/>
      <c r="K362" s="69">
        <f>K363+K364+K366+K365</f>
        <v>64489.1</v>
      </c>
      <c r="L362" s="69">
        <f t="shared" ref="L362" si="133">L363+L364+L366+L365</f>
        <v>0</v>
      </c>
      <c r="M362" s="69">
        <f>M363+M364+M366+M365</f>
        <v>64489.1</v>
      </c>
      <c r="N362" s="69">
        <f>N363+N364+N366+N365</f>
        <v>64522.5</v>
      </c>
    </row>
    <row r="363" spans="1:14" s="167" customFormat="1" ht="108" x14ac:dyDescent="0.35">
      <c r="A363" s="56"/>
      <c r="B363" s="610" t="s">
        <v>48</v>
      </c>
      <c r="C363" s="68" t="s">
        <v>443</v>
      </c>
      <c r="D363" s="55" t="s">
        <v>221</v>
      </c>
      <c r="E363" s="55" t="s">
        <v>77</v>
      </c>
      <c r="F363" s="799" t="s">
        <v>38</v>
      </c>
      <c r="G363" s="800" t="s">
        <v>29</v>
      </c>
      <c r="H363" s="800" t="s">
        <v>36</v>
      </c>
      <c r="I363" s="801" t="s">
        <v>89</v>
      </c>
      <c r="J363" s="55" t="s">
        <v>49</v>
      </c>
      <c r="K363" s="69">
        <v>40001.199999999997</v>
      </c>
      <c r="L363" s="69">
        <f>M363-K363</f>
        <v>0</v>
      </c>
      <c r="M363" s="69">
        <v>40001.199999999997</v>
      </c>
      <c r="N363" s="69">
        <v>40001.199999999997</v>
      </c>
    </row>
    <row r="364" spans="1:14" s="167" customFormat="1" ht="54" x14ac:dyDescent="0.35">
      <c r="A364" s="56"/>
      <c r="B364" s="610" t="s">
        <v>53</v>
      </c>
      <c r="C364" s="68" t="s">
        <v>443</v>
      </c>
      <c r="D364" s="55" t="s">
        <v>221</v>
      </c>
      <c r="E364" s="55" t="s">
        <v>77</v>
      </c>
      <c r="F364" s="799" t="s">
        <v>38</v>
      </c>
      <c r="G364" s="800" t="s">
        <v>29</v>
      </c>
      <c r="H364" s="800" t="s">
        <v>36</v>
      </c>
      <c r="I364" s="801" t="s">
        <v>89</v>
      </c>
      <c r="J364" s="55" t="s">
        <v>54</v>
      </c>
      <c r="K364" s="69">
        <v>3290.9</v>
      </c>
      <c r="L364" s="69">
        <f>M364-K364</f>
        <v>0</v>
      </c>
      <c r="M364" s="69">
        <v>3290.9</v>
      </c>
      <c r="N364" s="69">
        <v>3121.7</v>
      </c>
    </row>
    <row r="365" spans="1:14" s="167" customFormat="1" ht="54" x14ac:dyDescent="0.35">
      <c r="A365" s="56"/>
      <c r="B365" s="610" t="s">
        <v>74</v>
      </c>
      <c r="C365" s="68" t="s">
        <v>443</v>
      </c>
      <c r="D365" s="55" t="s">
        <v>221</v>
      </c>
      <c r="E365" s="55" t="s">
        <v>77</v>
      </c>
      <c r="F365" s="799" t="s">
        <v>38</v>
      </c>
      <c r="G365" s="800" t="s">
        <v>29</v>
      </c>
      <c r="H365" s="800" t="s">
        <v>36</v>
      </c>
      <c r="I365" s="801" t="s">
        <v>89</v>
      </c>
      <c r="J365" s="55" t="s">
        <v>75</v>
      </c>
      <c r="K365" s="69">
        <v>21192.9</v>
      </c>
      <c r="L365" s="69">
        <f>M365-K365</f>
        <v>0</v>
      </c>
      <c r="M365" s="69">
        <v>21192.9</v>
      </c>
      <c r="N365" s="69">
        <v>21396.2</v>
      </c>
    </row>
    <row r="366" spans="1:14" s="167" customFormat="1" ht="18" x14ac:dyDescent="0.35">
      <c r="A366" s="56"/>
      <c r="B366" s="610" t="s">
        <v>55</v>
      </c>
      <c r="C366" s="68" t="s">
        <v>443</v>
      </c>
      <c r="D366" s="55" t="s">
        <v>221</v>
      </c>
      <c r="E366" s="55" t="s">
        <v>77</v>
      </c>
      <c r="F366" s="799" t="s">
        <v>38</v>
      </c>
      <c r="G366" s="800" t="s">
        <v>29</v>
      </c>
      <c r="H366" s="800" t="s">
        <v>36</v>
      </c>
      <c r="I366" s="801" t="s">
        <v>89</v>
      </c>
      <c r="J366" s="55" t="s">
        <v>56</v>
      </c>
      <c r="K366" s="69">
        <v>4.0999999999999996</v>
      </c>
      <c r="L366" s="69">
        <f>M366-K366</f>
        <v>0</v>
      </c>
      <c r="M366" s="69">
        <v>4.0999999999999996</v>
      </c>
      <c r="N366" s="69">
        <v>3.4</v>
      </c>
    </row>
    <row r="367" spans="1:14" s="167" customFormat="1" ht="108" x14ac:dyDescent="0.35">
      <c r="A367" s="56"/>
      <c r="B367" s="610" t="s">
        <v>365</v>
      </c>
      <c r="C367" s="68" t="s">
        <v>443</v>
      </c>
      <c r="D367" s="55" t="s">
        <v>221</v>
      </c>
      <c r="E367" s="55" t="s">
        <v>77</v>
      </c>
      <c r="F367" s="799" t="s">
        <v>38</v>
      </c>
      <c r="G367" s="800" t="s">
        <v>29</v>
      </c>
      <c r="H367" s="800" t="s">
        <v>36</v>
      </c>
      <c r="I367" s="801" t="s">
        <v>284</v>
      </c>
      <c r="J367" s="55"/>
      <c r="K367" s="69">
        <f t="shared" ref="K367" si="134">K368+K369</f>
        <v>7998.6</v>
      </c>
      <c r="L367" s="69">
        <f t="shared" ref="L367" si="135">L368+L369</f>
        <v>0</v>
      </c>
      <c r="M367" s="69">
        <f t="shared" ref="M367:N367" si="136">M368+M369</f>
        <v>7998.6</v>
      </c>
      <c r="N367" s="69">
        <f t="shared" si="136"/>
        <v>8378.6</v>
      </c>
    </row>
    <row r="368" spans="1:14" s="167" customFormat="1" ht="108" x14ac:dyDescent="0.35">
      <c r="A368" s="56"/>
      <c r="B368" s="610" t="s">
        <v>48</v>
      </c>
      <c r="C368" s="68" t="s">
        <v>443</v>
      </c>
      <c r="D368" s="55" t="s">
        <v>221</v>
      </c>
      <c r="E368" s="55" t="s">
        <v>77</v>
      </c>
      <c r="F368" s="799" t="s">
        <v>38</v>
      </c>
      <c r="G368" s="800" t="s">
        <v>29</v>
      </c>
      <c r="H368" s="800" t="s">
        <v>36</v>
      </c>
      <c r="I368" s="801" t="s">
        <v>284</v>
      </c>
      <c r="J368" s="55" t="s">
        <v>49</v>
      </c>
      <c r="K368" s="69">
        <v>7200</v>
      </c>
      <c r="L368" s="69">
        <f>M368-K368</f>
        <v>0</v>
      </c>
      <c r="M368" s="69">
        <v>7200</v>
      </c>
      <c r="N368" s="69">
        <v>7200</v>
      </c>
    </row>
    <row r="369" spans="1:14" s="167" customFormat="1" ht="54" x14ac:dyDescent="0.35">
      <c r="A369" s="56"/>
      <c r="B369" s="610" t="s">
        <v>53</v>
      </c>
      <c r="C369" s="68" t="s">
        <v>443</v>
      </c>
      <c r="D369" s="55" t="s">
        <v>221</v>
      </c>
      <c r="E369" s="55" t="s">
        <v>77</v>
      </c>
      <c r="F369" s="799" t="s">
        <v>38</v>
      </c>
      <c r="G369" s="800" t="s">
        <v>29</v>
      </c>
      <c r="H369" s="800" t="s">
        <v>36</v>
      </c>
      <c r="I369" s="801" t="s">
        <v>284</v>
      </c>
      <c r="J369" s="55" t="s">
        <v>54</v>
      </c>
      <c r="K369" s="69">
        <v>798.6</v>
      </c>
      <c r="L369" s="69">
        <f>M369-K369</f>
        <v>0</v>
      </c>
      <c r="M369" s="69">
        <v>798.6</v>
      </c>
      <c r="N369" s="69">
        <v>1178.5999999999999</v>
      </c>
    </row>
    <row r="370" spans="1:14" s="167" customFormat="1" ht="54" x14ac:dyDescent="0.35">
      <c r="A370" s="56"/>
      <c r="B370" s="607" t="s">
        <v>295</v>
      </c>
      <c r="C370" s="266" t="s">
        <v>443</v>
      </c>
      <c r="D370" s="73" t="s">
        <v>221</v>
      </c>
      <c r="E370" s="73" t="s">
        <v>77</v>
      </c>
      <c r="F370" s="258" t="s">
        <v>38</v>
      </c>
      <c r="G370" s="259" t="s">
        <v>29</v>
      </c>
      <c r="H370" s="259" t="s">
        <v>38</v>
      </c>
      <c r="I370" s="260" t="s">
        <v>43</v>
      </c>
      <c r="J370" s="73"/>
      <c r="K370" s="261">
        <f>K371</f>
        <v>5790.9</v>
      </c>
      <c r="L370" s="261">
        <f t="shared" ref="L370:L371" si="137">L371</f>
        <v>0</v>
      </c>
      <c r="M370" s="261">
        <f>M371</f>
        <v>5790.9</v>
      </c>
      <c r="N370" s="261">
        <f>N371</f>
        <v>6022</v>
      </c>
    </row>
    <row r="371" spans="1:14" s="167" customFormat="1" ht="108" x14ac:dyDescent="0.35">
      <c r="A371" s="56"/>
      <c r="B371" s="607" t="s">
        <v>461</v>
      </c>
      <c r="C371" s="266" t="s">
        <v>443</v>
      </c>
      <c r="D371" s="73" t="s">
        <v>221</v>
      </c>
      <c r="E371" s="73" t="s">
        <v>77</v>
      </c>
      <c r="F371" s="258" t="s">
        <v>38</v>
      </c>
      <c r="G371" s="259" t="s">
        <v>29</v>
      </c>
      <c r="H371" s="259" t="s">
        <v>38</v>
      </c>
      <c r="I371" s="260" t="s">
        <v>460</v>
      </c>
      <c r="J371" s="73"/>
      <c r="K371" s="261">
        <f>K372</f>
        <v>5790.9</v>
      </c>
      <c r="L371" s="261">
        <f t="shared" si="137"/>
        <v>0</v>
      </c>
      <c r="M371" s="261">
        <f>M372</f>
        <v>5790.9</v>
      </c>
      <c r="N371" s="261">
        <f>N372</f>
        <v>6022</v>
      </c>
    </row>
    <row r="372" spans="1:14" s="167" customFormat="1" ht="54" x14ac:dyDescent="0.35">
      <c r="A372" s="56"/>
      <c r="B372" s="607" t="s">
        <v>74</v>
      </c>
      <c r="C372" s="266" t="s">
        <v>443</v>
      </c>
      <c r="D372" s="73" t="s">
        <v>221</v>
      </c>
      <c r="E372" s="73" t="s">
        <v>77</v>
      </c>
      <c r="F372" s="258" t="s">
        <v>38</v>
      </c>
      <c r="G372" s="259" t="s">
        <v>29</v>
      </c>
      <c r="H372" s="259" t="s">
        <v>38</v>
      </c>
      <c r="I372" s="260" t="s">
        <v>460</v>
      </c>
      <c r="J372" s="73" t="s">
        <v>75</v>
      </c>
      <c r="K372" s="261">
        <v>5790.9</v>
      </c>
      <c r="L372" s="69">
        <f>M372-K372</f>
        <v>0</v>
      </c>
      <c r="M372" s="261">
        <v>5790.9</v>
      </c>
      <c r="N372" s="311">
        <v>6022</v>
      </c>
    </row>
    <row r="373" spans="1:14" s="167" customFormat="1" ht="18" x14ac:dyDescent="0.35">
      <c r="A373" s="56"/>
      <c r="B373" s="658" t="s">
        <v>117</v>
      </c>
      <c r="C373" s="68" t="s">
        <v>443</v>
      </c>
      <c r="D373" s="55" t="s">
        <v>102</v>
      </c>
      <c r="E373" s="55"/>
      <c r="F373" s="799"/>
      <c r="G373" s="800"/>
      <c r="H373" s="800"/>
      <c r="I373" s="801"/>
      <c r="J373" s="55"/>
      <c r="K373" s="69">
        <f t="shared" ref="K373:N374" si="138">K374</f>
        <v>8438.2000000000007</v>
      </c>
      <c r="L373" s="69">
        <f t="shared" si="138"/>
        <v>0</v>
      </c>
      <c r="M373" s="69">
        <f t="shared" si="138"/>
        <v>8438.2000000000007</v>
      </c>
      <c r="N373" s="69">
        <f t="shared" si="138"/>
        <v>8438.2000000000007</v>
      </c>
    </row>
    <row r="374" spans="1:14" s="167" customFormat="1" ht="18" x14ac:dyDescent="0.35">
      <c r="A374" s="56"/>
      <c r="B374" s="658" t="s">
        <v>191</v>
      </c>
      <c r="C374" s="68" t="s">
        <v>443</v>
      </c>
      <c r="D374" s="55" t="s">
        <v>102</v>
      </c>
      <c r="E374" s="55" t="s">
        <v>50</v>
      </c>
      <c r="F374" s="799"/>
      <c r="G374" s="800"/>
      <c r="H374" s="800"/>
      <c r="I374" s="801"/>
      <c r="J374" s="55"/>
      <c r="K374" s="69">
        <f t="shared" si="138"/>
        <v>8438.2000000000007</v>
      </c>
      <c r="L374" s="69">
        <f t="shared" si="138"/>
        <v>0</v>
      </c>
      <c r="M374" s="69">
        <f t="shared" si="138"/>
        <v>8438.2000000000007</v>
      </c>
      <c r="N374" s="69">
        <f t="shared" si="138"/>
        <v>8438.2000000000007</v>
      </c>
    </row>
    <row r="375" spans="1:14" s="167" customFormat="1" ht="54" x14ac:dyDescent="0.35">
      <c r="A375" s="56"/>
      <c r="B375" s="610" t="s">
        <v>203</v>
      </c>
      <c r="C375" s="68" t="s">
        <v>443</v>
      </c>
      <c r="D375" s="55" t="s">
        <v>102</v>
      </c>
      <c r="E375" s="55" t="s">
        <v>50</v>
      </c>
      <c r="F375" s="799" t="s">
        <v>38</v>
      </c>
      <c r="G375" s="800" t="s">
        <v>41</v>
      </c>
      <c r="H375" s="800" t="s">
        <v>42</v>
      </c>
      <c r="I375" s="801" t="s">
        <v>43</v>
      </c>
      <c r="J375" s="55"/>
      <c r="K375" s="69">
        <f t="shared" ref="K375:N377" si="139">K376</f>
        <v>8438.2000000000007</v>
      </c>
      <c r="L375" s="69">
        <f t="shared" si="139"/>
        <v>0</v>
      </c>
      <c r="M375" s="69">
        <f t="shared" si="139"/>
        <v>8438.2000000000007</v>
      </c>
      <c r="N375" s="69">
        <f t="shared" si="139"/>
        <v>8438.2000000000007</v>
      </c>
    </row>
    <row r="376" spans="1:14" s="167" customFormat="1" ht="36" x14ac:dyDescent="0.35">
      <c r="A376" s="56"/>
      <c r="B376" s="610" t="s">
        <v>204</v>
      </c>
      <c r="C376" s="68" t="s">
        <v>443</v>
      </c>
      <c r="D376" s="55" t="s">
        <v>102</v>
      </c>
      <c r="E376" s="55" t="s">
        <v>50</v>
      </c>
      <c r="F376" s="799" t="s">
        <v>38</v>
      </c>
      <c r="G376" s="800" t="s">
        <v>44</v>
      </c>
      <c r="H376" s="800" t="s">
        <v>42</v>
      </c>
      <c r="I376" s="801" t="s">
        <v>43</v>
      </c>
      <c r="J376" s="55"/>
      <c r="K376" s="69">
        <f t="shared" si="139"/>
        <v>8438.2000000000007</v>
      </c>
      <c r="L376" s="69">
        <f t="shared" si="139"/>
        <v>0</v>
      </c>
      <c r="M376" s="69">
        <f t="shared" si="139"/>
        <v>8438.2000000000007</v>
      </c>
      <c r="N376" s="69">
        <f t="shared" si="139"/>
        <v>8438.2000000000007</v>
      </c>
    </row>
    <row r="377" spans="1:14" s="167" customFormat="1" ht="36" x14ac:dyDescent="0.35">
      <c r="A377" s="56"/>
      <c r="B377" s="610" t="s">
        <v>281</v>
      </c>
      <c r="C377" s="68" t="s">
        <v>443</v>
      </c>
      <c r="D377" s="55" t="s">
        <v>102</v>
      </c>
      <c r="E377" s="55" t="s">
        <v>50</v>
      </c>
      <c r="F377" s="799" t="s">
        <v>38</v>
      </c>
      <c r="G377" s="800" t="s">
        <v>44</v>
      </c>
      <c r="H377" s="800" t="s">
        <v>36</v>
      </c>
      <c r="I377" s="801" t="s">
        <v>43</v>
      </c>
      <c r="J377" s="55"/>
      <c r="K377" s="69">
        <f t="shared" si="139"/>
        <v>8438.2000000000007</v>
      </c>
      <c r="L377" s="69">
        <f t="shared" si="139"/>
        <v>0</v>
      </c>
      <c r="M377" s="69">
        <f t="shared" si="139"/>
        <v>8438.2000000000007</v>
      </c>
      <c r="N377" s="69">
        <f t="shared" si="139"/>
        <v>8438.2000000000007</v>
      </c>
    </row>
    <row r="378" spans="1:14" s="167" customFormat="1" ht="126" x14ac:dyDescent="0.35">
      <c r="A378" s="56"/>
      <c r="B378" s="610" t="s">
        <v>297</v>
      </c>
      <c r="C378" s="68" t="s">
        <v>443</v>
      </c>
      <c r="D378" s="55" t="s">
        <v>102</v>
      </c>
      <c r="E378" s="55" t="s">
        <v>50</v>
      </c>
      <c r="F378" s="799" t="s">
        <v>38</v>
      </c>
      <c r="G378" s="800" t="s">
        <v>44</v>
      </c>
      <c r="H378" s="800" t="s">
        <v>36</v>
      </c>
      <c r="I378" s="801" t="s">
        <v>298</v>
      </c>
      <c r="J378" s="55"/>
      <c r="K378" s="69">
        <f>K379+K380</f>
        <v>8438.2000000000007</v>
      </c>
      <c r="L378" s="69">
        <f t="shared" ref="L378" si="140">L379+L380</f>
        <v>0</v>
      </c>
      <c r="M378" s="69">
        <f>M379+M380</f>
        <v>8438.2000000000007</v>
      </c>
      <c r="N378" s="69">
        <f>N379+N380</f>
        <v>8438.2000000000007</v>
      </c>
    </row>
    <row r="379" spans="1:14" s="167" customFormat="1" ht="54" x14ac:dyDescent="0.35">
      <c r="A379" s="56"/>
      <c r="B379" s="610" t="s">
        <v>53</v>
      </c>
      <c r="C379" s="68" t="s">
        <v>443</v>
      </c>
      <c r="D379" s="55" t="s">
        <v>102</v>
      </c>
      <c r="E379" s="55" t="s">
        <v>50</v>
      </c>
      <c r="F379" s="799" t="s">
        <v>38</v>
      </c>
      <c r="G379" s="800" t="s">
        <v>44</v>
      </c>
      <c r="H379" s="800" t="s">
        <v>36</v>
      </c>
      <c r="I379" s="801" t="s">
        <v>298</v>
      </c>
      <c r="J379" s="55" t="s">
        <v>54</v>
      </c>
      <c r="K379" s="69">
        <v>124.7</v>
      </c>
      <c r="L379" s="69">
        <f>M379-K379</f>
        <v>0</v>
      </c>
      <c r="M379" s="69">
        <v>124.7</v>
      </c>
      <c r="N379" s="69">
        <v>124.7</v>
      </c>
    </row>
    <row r="380" spans="1:14" s="167" customFormat="1" ht="36" x14ac:dyDescent="0.35">
      <c r="A380" s="56"/>
      <c r="B380" s="617" t="s">
        <v>118</v>
      </c>
      <c r="C380" s="68" t="s">
        <v>443</v>
      </c>
      <c r="D380" s="55" t="s">
        <v>102</v>
      </c>
      <c r="E380" s="55" t="s">
        <v>50</v>
      </c>
      <c r="F380" s="799" t="s">
        <v>38</v>
      </c>
      <c r="G380" s="800" t="s">
        <v>44</v>
      </c>
      <c r="H380" s="800" t="s">
        <v>36</v>
      </c>
      <c r="I380" s="801" t="s">
        <v>298</v>
      </c>
      <c r="J380" s="55" t="s">
        <v>119</v>
      </c>
      <c r="K380" s="69">
        <v>8313.5</v>
      </c>
      <c r="L380" s="69">
        <f>M380-K380</f>
        <v>0</v>
      </c>
      <c r="M380" s="69">
        <v>8313.5</v>
      </c>
      <c r="N380" s="69">
        <v>8313.5</v>
      </c>
    </row>
    <row r="381" spans="1:14" s="167" customFormat="1" ht="18" x14ac:dyDescent="0.35">
      <c r="A381" s="56"/>
      <c r="B381" s="614" t="s">
        <v>342</v>
      </c>
      <c r="C381" s="68" t="s">
        <v>443</v>
      </c>
      <c r="D381" s="55" t="s">
        <v>65</v>
      </c>
      <c r="E381" s="55"/>
      <c r="F381" s="799"/>
      <c r="G381" s="800"/>
      <c r="H381" s="800"/>
      <c r="I381" s="801"/>
      <c r="J381" s="55"/>
      <c r="K381" s="69">
        <f t="shared" ref="K381:N384" si="141">K382</f>
        <v>20113.399999999998</v>
      </c>
      <c r="L381" s="69">
        <f t="shared" si="141"/>
        <v>0</v>
      </c>
      <c r="M381" s="69">
        <f t="shared" si="141"/>
        <v>20113.399999999998</v>
      </c>
      <c r="N381" s="69">
        <f t="shared" si="141"/>
        <v>19863</v>
      </c>
    </row>
    <row r="382" spans="1:14" s="167" customFormat="1" ht="18" x14ac:dyDescent="0.35">
      <c r="A382" s="56"/>
      <c r="B382" s="686" t="s">
        <v>611</v>
      </c>
      <c r="C382" s="68" t="s">
        <v>443</v>
      </c>
      <c r="D382" s="55" t="s">
        <v>65</v>
      </c>
      <c r="E382" s="55" t="s">
        <v>61</v>
      </c>
      <c r="F382" s="799"/>
      <c r="G382" s="800"/>
      <c r="H382" s="800"/>
      <c r="I382" s="801"/>
      <c r="J382" s="55"/>
      <c r="K382" s="69">
        <f t="shared" si="141"/>
        <v>20113.399999999998</v>
      </c>
      <c r="L382" s="69">
        <f t="shared" si="141"/>
        <v>0</v>
      </c>
      <c r="M382" s="69">
        <f t="shared" si="141"/>
        <v>20113.399999999998</v>
      </c>
      <c r="N382" s="69">
        <f t="shared" si="141"/>
        <v>19863</v>
      </c>
    </row>
    <row r="383" spans="1:14" s="167" customFormat="1" ht="54" x14ac:dyDescent="0.35">
      <c r="A383" s="56"/>
      <c r="B383" s="686" t="s">
        <v>203</v>
      </c>
      <c r="C383" s="68" t="s">
        <v>443</v>
      </c>
      <c r="D383" s="55" t="s">
        <v>65</v>
      </c>
      <c r="E383" s="55" t="s">
        <v>61</v>
      </c>
      <c r="F383" s="799" t="s">
        <v>38</v>
      </c>
      <c r="G383" s="800" t="s">
        <v>41</v>
      </c>
      <c r="H383" s="800" t="s">
        <v>42</v>
      </c>
      <c r="I383" s="801" t="s">
        <v>43</v>
      </c>
      <c r="J383" s="55"/>
      <c r="K383" s="69">
        <f t="shared" si="141"/>
        <v>20113.399999999998</v>
      </c>
      <c r="L383" s="69">
        <f t="shared" si="141"/>
        <v>0</v>
      </c>
      <c r="M383" s="69">
        <f t="shared" si="141"/>
        <v>20113.399999999998</v>
      </c>
      <c r="N383" s="69">
        <f t="shared" si="141"/>
        <v>19863</v>
      </c>
    </row>
    <row r="384" spans="1:14" s="167" customFormat="1" ht="18" x14ac:dyDescent="0.35">
      <c r="A384" s="56"/>
      <c r="B384" s="686" t="s">
        <v>208</v>
      </c>
      <c r="C384" s="68" t="s">
        <v>443</v>
      </c>
      <c r="D384" s="55" t="s">
        <v>65</v>
      </c>
      <c r="E384" s="55" t="s">
        <v>61</v>
      </c>
      <c r="F384" s="799" t="s">
        <v>38</v>
      </c>
      <c r="G384" s="800" t="s">
        <v>87</v>
      </c>
      <c r="H384" s="800" t="s">
        <v>42</v>
      </c>
      <c r="I384" s="801" t="s">
        <v>43</v>
      </c>
      <c r="J384" s="55"/>
      <c r="K384" s="69">
        <f t="shared" si="141"/>
        <v>20113.399999999998</v>
      </c>
      <c r="L384" s="69">
        <f t="shared" si="141"/>
        <v>0</v>
      </c>
      <c r="M384" s="69">
        <f t="shared" si="141"/>
        <v>20113.399999999998</v>
      </c>
      <c r="N384" s="69">
        <f>N385</f>
        <v>19863</v>
      </c>
    </row>
    <row r="385" spans="1:14" s="167" customFormat="1" ht="36" x14ac:dyDescent="0.35">
      <c r="A385" s="56"/>
      <c r="B385" s="686" t="s">
        <v>290</v>
      </c>
      <c r="C385" s="68" t="s">
        <v>443</v>
      </c>
      <c r="D385" s="55" t="s">
        <v>65</v>
      </c>
      <c r="E385" s="55" t="s">
        <v>61</v>
      </c>
      <c r="F385" s="799" t="s">
        <v>38</v>
      </c>
      <c r="G385" s="800" t="s">
        <v>87</v>
      </c>
      <c r="H385" s="800" t="s">
        <v>36</v>
      </c>
      <c r="I385" s="801" t="s">
        <v>43</v>
      </c>
      <c r="J385" s="55"/>
      <c r="K385" s="69">
        <f>K386+K390</f>
        <v>20113.399999999998</v>
      </c>
      <c r="L385" s="69">
        <f t="shared" ref="L385" si="142">L386+L390</f>
        <v>0</v>
      </c>
      <c r="M385" s="69">
        <f>M386+M390</f>
        <v>20113.399999999998</v>
      </c>
      <c r="N385" s="69">
        <f>N386+N390</f>
        <v>19863</v>
      </c>
    </row>
    <row r="386" spans="1:14" s="167" customFormat="1" ht="36" x14ac:dyDescent="0.35">
      <c r="A386" s="56"/>
      <c r="B386" s="746" t="s">
        <v>484</v>
      </c>
      <c r="C386" s="68" t="s">
        <v>443</v>
      </c>
      <c r="D386" s="55" t="s">
        <v>65</v>
      </c>
      <c r="E386" s="55" t="s">
        <v>61</v>
      </c>
      <c r="F386" s="799" t="s">
        <v>38</v>
      </c>
      <c r="G386" s="800" t="s">
        <v>87</v>
      </c>
      <c r="H386" s="800" t="s">
        <v>36</v>
      </c>
      <c r="I386" s="801" t="s">
        <v>89</v>
      </c>
      <c r="J386" s="55"/>
      <c r="K386" s="69">
        <f>K387+K388+K389</f>
        <v>19046.8</v>
      </c>
      <c r="L386" s="69">
        <f t="shared" ref="L386" si="143">L387+L388+L389</f>
        <v>0</v>
      </c>
      <c r="M386" s="69">
        <f>M387+M388+M389</f>
        <v>19046.8</v>
      </c>
      <c r="N386" s="69">
        <f>N387+N388+N389</f>
        <v>19043.5</v>
      </c>
    </row>
    <row r="387" spans="1:14" s="167" customFormat="1" ht="108" x14ac:dyDescent="0.35">
      <c r="A387" s="56"/>
      <c r="B387" s="610" t="s">
        <v>48</v>
      </c>
      <c r="C387" s="68" t="s">
        <v>443</v>
      </c>
      <c r="D387" s="55" t="s">
        <v>65</v>
      </c>
      <c r="E387" s="55" t="s">
        <v>61</v>
      </c>
      <c r="F387" s="799" t="s">
        <v>38</v>
      </c>
      <c r="G387" s="800" t="s">
        <v>87</v>
      </c>
      <c r="H387" s="800" t="s">
        <v>36</v>
      </c>
      <c r="I387" s="801" t="s">
        <v>89</v>
      </c>
      <c r="J387" s="55" t="s">
        <v>49</v>
      </c>
      <c r="K387" s="69">
        <v>17038.2</v>
      </c>
      <c r="L387" s="69">
        <f>M387-K387</f>
        <v>0</v>
      </c>
      <c r="M387" s="69">
        <v>17038.2</v>
      </c>
      <c r="N387" s="69">
        <v>17038.2</v>
      </c>
    </row>
    <row r="388" spans="1:14" s="167" customFormat="1" ht="54" x14ac:dyDescent="0.35">
      <c r="A388" s="56"/>
      <c r="B388" s="686" t="s">
        <v>53</v>
      </c>
      <c r="C388" s="68" t="s">
        <v>443</v>
      </c>
      <c r="D388" s="55" t="s">
        <v>65</v>
      </c>
      <c r="E388" s="55" t="s">
        <v>61</v>
      </c>
      <c r="F388" s="799" t="s">
        <v>38</v>
      </c>
      <c r="G388" s="800" t="s">
        <v>87</v>
      </c>
      <c r="H388" s="800" t="s">
        <v>36</v>
      </c>
      <c r="I388" s="801" t="s">
        <v>89</v>
      </c>
      <c r="J388" s="55" t="s">
        <v>54</v>
      </c>
      <c r="K388" s="69">
        <v>1712.1</v>
      </c>
      <c r="L388" s="69">
        <f>M388-K388</f>
        <v>0</v>
      </c>
      <c r="M388" s="69">
        <v>1712.1</v>
      </c>
      <c r="N388" s="69">
        <v>1715.3</v>
      </c>
    </row>
    <row r="389" spans="1:14" s="167" customFormat="1" ht="18" x14ac:dyDescent="0.35">
      <c r="A389" s="56"/>
      <c r="B389" s="610" t="s">
        <v>55</v>
      </c>
      <c r="C389" s="68" t="s">
        <v>443</v>
      </c>
      <c r="D389" s="55" t="s">
        <v>65</v>
      </c>
      <c r="E389" s="55" t="s">
        <v>61</v>
      </c>
      <c r="F389" s="799" t="s">
        <v>38</v>
      </c>
      <c r="G389" s="800" t="s">
        <v>87</v>
      </c>
      <c r="H389" s="800" t="s">
        <v>36</v>
      </c>
      <c r="I389" s="801" t="s">
        <v>89</v>
      </c>
      <c r="J389" s="55" t="s">
        <v>56</v>
      </c>
      <c r="K389" s="69">
        <v>296.5</v>
      </c>
      <c r="L389" s="69">
        <f>M389-K389</f>
        <v>0</v>
      </c>
      <c r="M389" s="69">
        <v>296.5</v>
      </c>
      <c r="N389" s="69">
        <v>290</v>
      </c>
    </row>
    <row r="390" spans="1:14" s="167" customFormat="1" ht="54" x14ac:dyDescent="0.35">
      <c r="A390" s="56"/>
      <c r="B390" s="610" t="s">
        <v>205</v>
      </c>
      <c r="C390" s="68" t="s">
        <v>443</v>
      </c>
      <c r="D390" s="55" t="s">
        <v>65</v>
      </c>
      <c r="E390" s="55" t="s">
        <v>61</v>
      </c>
      <c r="F390" s="799" t="s">
        <v>38</v>
      </c>
      <c r="G390" s="800" t="s">
        <v>87</v>
      </c>
      <c r="H390" s="800" t="s">
        <v>36</v>
      </c>
      <c r="I390" s="801" t="s">
        <v>287</v>
      </c>
      <c r="J390" s="55"/>
      <c r="K390" s="69">
        <f>K391</f>
        <v>1066.5999999999999</v>
      </c>
      <c r="L390" s="69">
        <f t="shared" ref="L390" si="144">L391</f>
        <v>0</v>
      </c>
      <c r="M390" s="69">
        <f>M391</f>
        <v>1066.5999999999999</v>
      </c>
      <c r="N390" s="69">
        <f>N391</f>
        <v>819.5</v>
      </c>
    </row>
    <row r="391" spans="1:14" s="167" customFormat="1" ht="54" x14ac:dyDescent="0.35">
      <c r="A391" s="56"/>
      <c r="B391" s="610" t="s">
        <v>53</v>
      </c>
      <c r="C391" s="68" t="s">
        <v>443</v>
      </c>
      <c r="D391" s="55" t="s">
        <v>65</v>
      </c>
      <c r="E391" s="55" t="s">
        <v>61</v>
      </c>
      <c r="F391" s="799" t="s">
        <v>38</v>
      </c>
      <c r="G391" s="800" t="s">
        <v>87</v>
      </c>
      <c r="H391" s="800" t="s">
        <v>36</v>
      </c>
      <c r="I391" s="801" t="s">
        <v>287</v>
      </c>
      <c r="J391" s="55" t="s">
        <v>54</v>
      </c>
      <c r="K391" s="69">
        <v>1066.5999999999999</v>
      </c>
      <c r="L391" s="69">
        <f>M391-K391</f>
        <v>0</v>
      </c>
      <c r="M391" s="69">
        <v>1066.5999999999999</v>
      </c>
      <c r="N391" s="69">
        <v>819.5</v>
      </c>
    </row>
    <row r="392" spans="1:14" s="169" customFormat="1" ht="18" x14ac:dyDescent="0.35">
      <c r="A392" s="56"/>
      <c r="B392" s="610"/>
      <c r="C392" s="68"/>
      <c r="D392" s="55"/>
      <c r="E392" s="55"/>
      <c r="F392" s="799"/>
      <c r="G392" s="800"/>
      <c r="H392" s="800"/>
      <c r="I392" s="801"/>
      <c r="J392" s="55"/>
      <c r="K392" s="69"/>
      <c r="L392" s="69"/>
      <c r="M392" s="69"/>
      <c r="N392" s="69"/>
    </row>
    <row r="393" spans="1:14" s="163" customFormat="1" ht="52.2" x14ac:dyDescent="0.3">
      <c r="A393" s="162">
        <v>6</v>
      </c>
      <c r="B393" s="678" t="s">
        <v>9</v>
      </c>
      <c r="C393" s="63" t="s">
        <v>334</v>
      </c>
      <c r="D393" s="64"/>
      <c r="E393" s="64"/>
      <c r="F393" s="65"/>
      <c r="G393" s="66"/>
      <c r="H393" s="66"/>
      <c r="I393" s="67"/>
      <c r="J393" s="64"/>
      <c r="K393" s="77">
        <f>K401+K416+K394</f>
        <v>118607.00000000001</v>
      </c>
      <c r="L393" s="77">
        <f t="shared" ref="L393" si="145">L401+L416+L394</f>
        <v>0</v>
      </c>
      <c r="M393" s="77">
        <f>M401+M416+M394</f>
        <v>118607.00000000001</v>
      </c>
      <c r="N393" s="77">
        <f>N401+N416+N394</f>
        <v>118644.40000000001</v>
      </c>
    </row>
    <row r="394" spans="1:14" s="163" customFormat="1" ht="18" x14ac:dyDescent="0.35">
      <c r="A394" s="162"/>
      <c r="B394" s="610" t="s">
        <v>35</v>
      </c>
      <c r="C394" s="68" t="s">
        <v>334</v>
      </c>
      <c r="D394" s="73" t="s">
        <v>36</v>
      </c>
      <c r="E394" s="64"/>
      <c r="F394" s="65"/>
      <c r="G394" s="66"/>
      <c r="H394" s="66"/>
      <c r="I394" s="67"/>
      <c r="J394" s="64"/>
      <c r="K394" s="261">
        <f t="shared" ref="K394:M399" si="146">K395</f>
        <v>56.3</v>
      </c>
      <c r="L394" s="261">
        <f t="shared" si="146"/>
        <v>0</v>
      </c>
      <c r="M394" s="261">
        <f t="shared" si="146"/>
        <v>56.3</v>
      </c>
      <c r="N394" s="261">
        <f>N395</f>
        <v>56.3</v>
      </c>
    </row>
    <row r="395" spans="1:14" s="163" customFormat="1" ht="18" x14ac:dyDescent="0.35">
      <c r="A395" s="162"/>
      <c r="B395" s="610" t="s">
        <v>68</v>
      </c>
      <c r="C395" s="68" t="s">
        <v>334</v>
      </c>
      <c r="D395" s="73" t="s">
        <v>36</v>
      </c>
      <c r="E395" s="73" t="s">
        <v>69</v>
      </c>
      <c r="F395" s="65"/>
      <c r="G395" s="66"/>
      <c r="H395" s="66"/>
      <c r="I395" s="67"/>
      <c r="J395" s="64"/>
      <c r="K395" s="261">
        <f t="shared" ref="K395:N396" si="147">K396</f>
        <v>56.3</v>
      </c>
      <c r="L395" s="261">
        <f t="shared" si="147"/>
        <v>0</v>
      </c>
      <c r="M395" s="261">
        <f t="shared" si="147"/>
        <v>56.3</v>
      </c>
      <c r="N395" s="261">
        <f t="shared" si="147"/>
        <v>56.3</v>
      </c>
    </row>
    <row r="396" spans="1:14" s="163" customFormat="1" ht="54" x14ac:dyDescent="0.35">
      <c r="A396" s="162"/>
      <c r="B396" s="659" t="s">
        <v>211</v>
      </c>
      <c r="C396" s="68" t="s">
        <v>334</v>
      </c>
      <c r="D396" s="73" t="s">
        <v>36</v>
      </c>
      <c r="E396" s="73" t="s">
        <v>69</v>
      </c>
      <c r="F396" s="258" t="s">
        <v>61</v>
      </c>
      <c r="G396" s="259" t="s">
        <v>41</v>
      </c>
      <c r="H396" s="259" t="s">
        <v>42</v>
      </c>
      <c r="I396" s="260" t="s">
        <v>43</v>
      </c>
      <c r="J396" s="64"/>
      <c r="K396" s="261">
        <f t="shared" si="147"/>
        <v>56.3</v>
      </c>
      <c r="L396" s="261">
        <f t="shared" si="147"/>
        <v>0</v>
      </c>
      <c r="M396" s="261">
        <f t="shared" si="147"/>
        <v>56.3</v>
      </c>
      <c r="N396" s="261">
        <f t="shared" si="147"/>
        <v>56.3</v>
      </c>
    </row>
    <row r="397" spans="1:14" s="163" customFormat="1" ht="54" x14ac:dyDescent="0.35">
      <c r="A397" s="162"/>
      <c r="B397" s="610" t="s">
        <v>213</v>
      </c>
      <c r="C397" s="68" t="s">
        <v>334</v>
      </c>
      <c r="D397" s="73" t="s">
        <v>36</v>
      </c>
      <c r="E397" s="73" t="s">
        <v>69</v>
      </c>
      <c r="F397" s="258" t="s">
        <v>61</v>
      </c>
      <c r="G397" s="259" t="s">
        <v>29</v>
      </c>
      <c r="H397" s="259" t="s">
        <v>42</v>
      </c>
      <c r="I397" s="260" t="s">
        <v>43</v>
      </c>
      <c r="J397" s="64"/>
      <c r="K397" s="261">
        <f t="shared" si="146"/>
        <v>56.3</v>
      </c>
      <c r="L397" s="261">
        <f t="shared" si="146"/>
        <v>0</v>
      </c>
      <c r="M397" s="261">
        <f t="shared" si="146"/>
        <v>56.3</v>
      </c>
      <c r="N397" s="261">
        <f>N398</f>
        <v>56.3</v>
      </c>
    </row>
    <row r="398" spans="1:14" s="163" customFormat="1" ht="36" x14ac:dyDescent="0.35">
      <c r="A398" s="162"/>
      <c r="B398" s="610" t="s">
        <v>371</v>
      </c>
      <c r="C398" s="68" t="s">
        <v>334</v>
      </c>
      <c r="D398" s="73" t="s">
        <v>36</v>
      </c>
      <c r="E398" s="73" t="s">
        <v>69</v>
      </c>
      <c r="F398" s="258" t="s">
        <v>61</v>
      </c>
      <c r="G398" s="259" t="s">
        <v>29</v>
      </c>
      <c r="H398" s="259" t="s">
        <v>38</v>
      </c>
      <c r="I398" s="260" t="s">
        <v>43</v>
      </c>
      <c r="J398" s="64"/>
      <c r="K398" s="261">
        <f t="shared" si="146"/>
        <v>56.3</v>
      </c>
      <c r="L398" s="261">
        <f t="shared" si="146"/>
        <v>0</v>
      </c>
      <c r="M398" s="261">
        <f t="shared" si="146"/>
        <v>56.3</v>
      </c>
      <c r="N398" s="261">
        <f>N399</f>
        <v>56.3</v>
      </c>
    </row>
    <row r="399" spans="1:14" s="163" customFormat="1" ht="54" x14ac:dyDescent="0.35">
      <c r="A399" s="162"/>
      <c r="B399" s="610" t="s">
        <v>372</v>
      </c>
      <c r="C399" s="68" t="s">
        <v>334</v>
      </c>
      <c r="D399" s="73" t="s">
        <v>36</v>
      </c>
      <c r="E399" s="73" t="s">
        <v>69</v>
      </c>
      <c r="F399" s="258" t="s">
        <v>61</v>
      </c>
      <c r="G399" s="259" t="s">
        <v>29</v>
      </c>
      <c r="H399" s="259" t="s">
        <v>38</v>
      </c>
      <c r="I399" s="260" t="s">
        <v>103</v>
      </c>
      <c r="J399" s="64"/>
      <c r="K399" s="261">
        <f>K400</f>
        <v>56.3</v>
      </c>
      <c r="L399" s="261">
        <f t="shared" si="146"/>
        <v>0</v>
      </c>
      <c r="M399" s="261">
        <f>M400</f>
        <v>56.3</v>
      </c>
      <c r="N399" s="261">
        <f>N400</f>
        <v>56.3</v>
      </c>
    </row>
    <row r="400" spans="1:14" s="163" customFormat="1" ht="54" x14ac:dyDescent="0.35">
      <c r="A400" s="162"/>
      <c r="B400" s="610" t="s">
        <v>53</v>
      </c>
      <c r="C400" s="68" t="s">
        <v>334</v>
      </c>
      <c r="D400" s="73" t="s">
        <v>36</v>
      </c>
      <c r="E400" s="73" t="s">
        <v>69</v>
      </c>
      <c r="F400" s="258" t="s">
        <v>61</v>
      </c>
      <c r="G400" s="259" t="s">
        <v>29</v>
      </c>
      <c r="H400" s="259" t="s">
        <v>38</v>
      </c>
      <c r="I400" s="260" t="s">
        <v>103</v>
      </c>
      <c r="J400" s="73" t="s">
        <v>54</v>
      </c>
      <c r="K400" s="261">
        <v>56.3</v>
      </c>
      <c r="L400" s="69">
        <f>M400-K400</f>
        <v>0</v>
      </c>
      <c r="M400" s="261">
        <v>56.3</v>
      </c>
      <c r="N400" s="261">
        <v>56.3</v>
      </c>
    </row>
    <row r="401" spans="1:14" s="52" customFormat="1" ht="18" x14ac:dyDescent="0.35">
      <c r="A401" s="56"/>
      <c r="B401" s="659" t="s">
        <v>177</v>
      </c>
      <c r="C401" s="68" t="s">
        <v>334</v>
      </c>
      <c r="D401" s="55" t="s">
        <v>221</v>
      </c>
      <c r="E401" s="55"/>
      <c r="F401" s="799"/>
      <c r="G401" s="800"/>
      <c r="H401" s="800"/>
      <c r="I401" s="801"/>
      <c r="J401" s="55"/>
      <c r="K401" s="69">
        <f>K402+K410</f>
        <v>74337.700000000012</v>
      </c>
      <c r="L401" s="69">
        <f t="shared" ref="L401" si="148">L402+L410</f>
        <v>0</v>
      </c>
      <c r="M401" s="69">
        <f>M402+M410</f>
        <v>74337.700000000012</v>
      </c>
      <c r="N401" s="69">
        <f>N402+N410</f>
        <v>74391.100000000006</v>
      </c>
    </row>
    <row r="402" spans="1:14" s="163" customFormat="1" ht="18" x14ac:dyDescent="0.35">
      <c r="A402" s="56"/>
      <c r="B402" s="659" t="s">
        <v>369</v>
      </c>
      <c r="C402" s="68" t="s">
        <v>334</v>
      </c>
      <c r="D402" s="55" t="s">
        <v>221</v>
      </c>
      <c r="E402" s="55" t="s">
        <v>61</v>
      </c>
      <c r="F402" s="799"/>
      <c r="G402" s="800"/>
      <c r="H402" s="800"/>
      <c r="I402" s="801"/>
      <c r="J402" s="55"/>
      <c r="K402" s="69">
        <f t="shared" ref="K402:M403" si="149">K403</f>
        <v>73887.700000000012</v>
      </c>
      <c r="L402" s="69">
        <f t="shared" si="149"/>
        <v>0</v>
      </c>
      <c r="M402" s="69">
        <f t="shared" si="149"/>
        <v>73887.700000000012</v>
      </c>
      <c r="N402" s="69">
        <f>N403</f>
        <v>73941.100000000006</v>
      </c>
    </row>
    <row r="403" spans="1:14" s="163" customFormat="1" ht="54" x14ac:dyDescent="0.35">
      <c r="A403" s="56"/>
      <c r="B403" s="659" t="s">
        <v>211</v>
      </c>
      <c r="C403" s="68" t="s">
        <v>334</v>
      </c>
      <c r="D403" s="55" t="s">
        <v>221</v>
      </c>
      <c r="E403" s="55" t="s">
        <v>61</v>
      </c>
      <c r="F403" s="799" t="s">
        <v>61</v>
      </c>
      <c r="G403" s="800" t="s">
        <v>41</v>
      </c>
      <c r="H403" s="800" t="s">
        <v>42</v>
      </c>
      <c r="I403" s="801" t="s">
        <v>43</v>
      </c>
      <c r="J403" s="55"/>
      <c r="K403" s="69">
        <f t="shared" si="149"/>
        <v>73887.700000000012</v>
      </c>
      <c r="L403" s="69">
        <f t="shared" si="149"/>
        <v>0</v>
      </c>
      <c r="M403" s="69">
        <f t="shared" si="149"/>
        <v>73887.700000000012</v>
      </c>
      <c r="N403" s="69">
        <f>N404</f>
        <v>73941.100000000006</v>
      </c>
    </row>
    <row r="404" spans="1:14" s="163" customFormat="1" ht="72" x14ac:dyDescent="0.35">
      <c r="A404" s="56"/>
      <c r="B404" s="659" t="s">
        <v>212</v>
      </c>
      <c r="C404" s="68" t="s">
        <v>334</v>
      </c>
      <c r="D404" s="55" t="s">
        <v>221</v>
      </c>
      <c r="E404" s="55" t="s">
        <v>61</v>
      </c>
      <c r="F404" s="799" t="s">
        <v>61</v>
      </c>
      <c r="G404" s="800" t="s">
        <v>44</v>
      </c>
      <c r="H404" s="800" t="s">
        <v>42</v>
      </c>
      <c r="I404" s="801" t="s">
        <v>43</v>
      </c>
      <c r="J404" s="55"/>
      <c r="K404" s="69">
        <f t="shared" ref="K404:N406" si="150">K405</f>
        <v>73887.700000000012</v>
      </c>
      <c r="L404" s="69">
        <f t="shared" si="150"/>
        <v>0</v>
      </c>
      <c r="M404" s="69">
        <f t="shared" si="150"/>
        <v>73887.700000000012</v>
      </c>
      <c r="N404" s="69">
        <f t="shared" si="150"/>
        <v>73941.100000000006</v>
      </c>
    </row>
    <row r="405" spans="1:14" s="163" customFormat="1" ht="36" x14ac:dyDescent="0.35">
      <c r="A405" s="56"/>
      <c r="B405" s="659" t="s">
        <v>290</v>
      </c>
      <c r="C405" s="68" t="s">
        <v>334</v>
      </c>
      <c r="D405" s="55" t="s">
        <v>221</v>
      </c>
      <c r="E405" s="55" t="s">
        <v>61</v>
      </c>
      <c r="F405" s="799" t="s">
        <v>61</v>
      </c>
      <c r="G405" s="800" t="s">
        <v>44</v>
      </c>
      <c r="H405" s="800" t="s">
        <v>36</v>
      </c>
      <c r="I405" s="801" t="s">
        <v>43</v>
      </c>
      <c r="J405" s="55"/>
      <c r="K405" s="69">
        <f>K406+K408</f>
        <v>73887.700000000012</v>
      </c>
      <c r="L405" s="69">
        <f t="shared" ref="L405" si="151">L406+L408</f>
        <v>0</v>
      </c>
      <c r="M405" s="69">
        <f>M406+M408</f>
        <v>73887.700000000012</v>
      </c>
      <c r="N405" s="69">
        <f>N406+N408</f>
        <v>73941.100000000006</v>
      </c>
    </row>
    <row r="406" spans="1:14" s="163" customFormat="1" ht="36" x14ac:dyDescent="0.35">
      <c r="A406" s="56"/>
      <c r="B406" s="686" t="s">
        <v>484</v>
      </c>
      <c r="C406" s="68" t="s">
        <v>334</v>
      </c>
      <c r="D406" s="55" t="s">
        <v>221</v>
      </c>
      <c r="E406" s="55" t="s">
        <v>61</v>
      </c>
      <c r="F406" s="799" t="s">
        <v>61</v>
      </c>
      <c r="G406" s="800" t="s">
        <v>44</v>
      </c>
      <c r="H406" s="800" t="s">
        <v>36</v>
      </c>
      <c r="I406" s="801" t="s">
        <v>89</v>
      </c>
      <c r="J406" s="55"/>
      <c r="K406" s="69">
        <f t="shared" si="150"/>
        <v>66324.600000000006</v>
      </c>
      <c r="L406" s="69">
        <f t="shared" si="150"/>
        <v>0</v>
      </c>
      <c r="M406" s="69">
        <f t="shared" si="150"/>
        <v>66324.600000000006</v>
      </c>
      <c r="N406" s="69">
        <f t="shared" si="150"/>
        <v>66378</v>
      </c>
    </row>
    <row r="407" spans="1:14" s="52" customFormat="1" ht="54" x14ac:dyDescent="0.35">
      <c r="A407" s="56"/>
      <c r="B407" s="617" t="s">
        <v>74</v>
      </c>
      <c r="C407" s="68" t="s">
        <v>334</v>
      </c>
      <c r="D407" s="55" t="s">
        <v>221</v>
      </c>
      <c r="E407" s="55" t="s">
        <v>61</v>
      </c>
      <c r="F407" s="799" t="s">
        <v>61</v>
      </c>
      <c r="G407" s="800" t="s">
        <v>44</v>
      </c>
      <c r="H407" s="800" t="s">
        <v>36</v>
      </c>
      <c r="I407" s="801" t="s">
        <v>89</v>
      </c>
      <c r="J407" s="55" t="s">
        <v>75</v>
      </c>
      <c r="K407" s="69">
        <v>66324.600000000006</v>
      </c>
      <c r="L407" s="69">
        <f>M407-K407</f>
        <v>0</v>
      </c>
      <c r="M407" s="69">
        <v>66324.600000000006</v>
      </c>
      <c r="N407" s="69">
        <v>66378</v>
      </c>
    </row>
    <row r="408" spans="1:14" s="52" customFormat="1" ht="36" x14ac:dyDescent="0.35">
      <c r="A408" s="56"/>
      <c r="B408" s="617" t="s">
        <v>335</v>
      </c>
      <c r="C408" s="68" t="s">
        <v>334</v>
      </c>
      <c r="D408" s="55" t="s">
        <v>221</v>
      </c>
      <c r="E408" s="55" t="s">
        <v>61</v>
      </c>
      <c r="F408" s="799" t="s">
        <v>61</v>
      </c>
      <c r="G408" s="800" t="s">
        <v>44</v>
      </c>
      <c r="H408" s="800" t="s">
        <v>36</v>
      </c>
      <c r="I408" s="801" t="s">
        <v>336</v>
      </c>
      <c r="J408" s="55"/>
      <c r="K408" s="69">
        <f>K409</f>
        <v>7563.1</v>
      </c>
      <c r="L408" s="69">
        <f t="shared" ref="L408" si="152">L409</f>
        <v>0</v>
      </c>
      <c r="M408" s="69">
        <f>M409</f>
        <v>7563.1</v>
      </c>
      <c r="N408" s="69">
        <f>N409</f>
        <v>7563.1</v>
      </c>
    </row>
    <row r="409" spans="1:14" s="52" customFormat="1" ht="54" x14ac:dyDescent="0.35">
      <c r="A409" s="56"/>
      <c r="B409" s="617" t="s">
        <v>74</v>
      </c>
      <c r="C409" s="68" t="s">
        <v>334</v>
      </c>
      <c r="D409" s="55" t="s">
        <v>221</v>
      </c>
      <c r="E409" s="55" t="s">
        <v>61</v>
      </c>
      <c r="F409" s="799" t="s">
        <v>61</v>
      </c>
      <c r="G409" s="800" t="s">
        <v>44</v>
      </c>
      <c r="H409" s="800" t="s">
        <v>36</v>
      </c>
      <c r="I409" s="801" t="s">
        <v>336</v>
      </c>
      <c r="J409" s="55" t="s">
        <v>75</v>
      </c>
      <c r="K409" s="69">
        <v>7563.1</v>
      </c>
      <c r="L409" s="69">
        <f>M409-K409</f>
        <v>0</v>
      </c>
      <c r="M409" s="69">
        <v>7563.1</v>
      </c>
      <c r="N409" s="69">
        <v>7563.1</v>
      </c>
    </row>
    <row r="410" spans="1:14" s="52" customFormat="1" ht="18" x14ac:dyDescent="0.35">
      <c r="A410" s="56"/>
      <c r="B410" s="610" t="s">
        <v>184</v>
      </c>
      <c r="C410" s="68" t="s">
        <v>334</v>
      </c>
      <c r="D410" s="55" t="s">
        <v>221</v>
      </c>
      <c r="E410" s="55" t="s">
        <v>77</v>
      </c>
      <c r="F410" s="799"/>
      <c r="G410" s="800"/>
      <c r="H410" s="800"/>
      <c r="I410" s="801"/>
      <c r="J410" s="55"/>
      <c r="K410" s="69">
        <f t="shared" ref="K410:N414" si="153">K411</f>
        <v>450</v>
      </c>
      <c r="L410" s="69">
        <f t="shared" si="153"/>
        <v>0</v>
      </c>
      <c r="M410" s="69">
        <f t="shared" si="153"/>
        <v>450</v>
      </c>
      <c r="N410" s="69">
        <f t="shared" si="153"/>
        <v>450</v>
      </c>
    </row>
    <row r="411" spans="1:14" s="52" customFormat="1" ht="54" x14ac:dyDescent="0.35">
      <c r="A411" s="56"/>
      <c r="B411" s="659" t="s">
        <v>211</v>
      </c>
      <c r="C411" s="68" t="s">
        <v>334</v>
      </c>
      <c r="D411" s="55" t="s">
        <v>221</v>
      </c>
      <c r="E411" s="55" t="s">
        <v>77</v>
      </c>
      <c r="F411" s="799" t="s">
        <v>61</v>
      </c>
      <c r="G411" s="800" t="s">
        <v>41</v>
      </c>
      <c r="H411" s="800" t="s">
        <v>42</v>
      </c>
      <c r="I411" s="801" t="s">
        <v>43</v>
      </c>
      <c r="J411" s="55"/>
      <c r="K411" s="69">
        <f t="shared" si="153"/>
        <v>450</v>
      </c>
      <c r="L411" s="69">
        <f t="shared" si="153"/>
        <v>0</v>
      </c>
      <c r="M411" s="69">
        <f t="shared" si="153"/>
        <v>450</v>
      </c>
      <c r="N411" s="69">
        <f t="shared" si="153"/>
        <v>450</v>
      </c>
    </row>
    <row r="412" spans="1:14" s="52" customFormat="1" ht="72" x14ac:dyDescent="0.35">
      <c r="A412" s="56"/>
      <c r="B412" s="659" t="s">
        <v>212</v>
      </c>
      <c r="C412" s="68" t="s">
        <v>334</v>
      </c>
      <c r="D412" s="55" t="s">
        <v>221</v>
      </c>
      <c r="E412" s="55" t="s">
        <v>77</v>
      </c>
      <c r="F412" s="799" t="s">
        <v>61</v>
      </c>
      <c r="G412" s="800" t="s">
        <v>44</v>
      </c>
      <c r="H412" s="800" t="s">
        <v>42</v>
      </c>
      <c r="I412" s="801" t="s">
        <v>43</v>
      </c>
      <c r="J412" s="55"/>
      <c r="K412" s="69">
        <f t="shared" si="153"/>
        <v>450</v>
      </c>
      <c r="L412" s="69">
        <f t="shared" si="153"/>
        <v>0</v>
      </c>
      <c r="M412" s="69">
        <f t="shared" si="153"/>
        <v>450</v>
      </c>
      <c r="N412" s="69">
        <f t="shared" si="153"/>
        <v>450</v>
      </c>
    </row>
    <row r="413" spans="1:14" s="52" customFormat="1" ht="18" x14ac:dyDescent="0.35">
      <c r="A413" s="56"/>
      <c r="B413" s="617" t="s">
        <v>291</v>
      </c>
      <c r="C413" s="68" t="s">
        <v>334</v>
      </c>
      <c r="D413" s="55" t="s">
        <v>221</v>
      </c>
      <c r="E413" s="55" t="s">
        <v>77</v>
      </c>
      <c r="F413" s="799" t="s">
        <v>61</v>
      </c>
      <c r="G413" s="800" t="s">
        <v>44</v>
      </c>
      <c r="H413" s="800" t="s">
        <v>38</v>
      </c>
      <c r="I413" s="801" t="s">
        <v>43</v>
      </c>
      <c r="J413" s="55"/>
      <c r="K413" s="69">
        <f>K414</f>
        <v>450</v>
      </c>
      <c r="L413" s="69">
        <f t="shared" si="153"/>
        <v>0</v>
      </c>
      <c r="M413" s="69">
        <f>M414</f>
        <v>450</v>
      </c>
      <c r="N413" s="69">
        <f>N414</f>
        <v>450</v>
      </c>
    </row>
    <row r="414" spans="1:14" s="52" customFormat="1" ht="36" x14ac:dyDescent="0.35">
      <c r="A414" s="56"/>
      <c r="B414" s="617" t="s">
        <v>209</v>
      </c>
      <c r="C414" s="68" t="s">
        <v>334</v>
      </c>
      <c r="D414" s="55" t="s">
        <v>221</v>
      </c>
      <c r="E414" s="55" t="s">
        <v>77</v>
      </c>
      <c r="F414" s="799" t="s">
        <v>61</v>
      </c>
      <c r="G414" s="800" t="s">
        <v>44</v>
      </c>
      <c r="H414" s="800" t="s">
        <v>38</v>
      </c>
      <c r="I414" s="801" t="s">
        <v>293</v>
      </c>
      <c r="J414" s="55"/>
      <c r="K414" s="69">
        <f t="shared" si="153"/>
        <v>450</v>
      </c>
      <c r="L414" s="69">
        <f t="shared" si="153"/>
        <v>0</v>
      </c>
      <c r="M414" s="69">
        <f t="shared" si="153"/>
        <v>450</v>
      </c>
      <c r="N414" s="69">
        <f t="shared" si="153"/>
        <v>450</v>
      </c>
    </row>
    <row r="415" spans="1:14" s="52" customFormat="1" ht="36" x14ac:dyDescent="0.35">
      <c r="A415" s="56"/>
      <c r="B415" s="617" t="s">
        <v>118</v>
      </c>
      <c r="C415" s="68" t="s">
        <v>334</v>
      </c>
      <c r="D415" s="55" t="s">
        <v>221</v>
      </c>
      <c r="E415" s="55" t="s">
        <v>77</v>
      </c>
      <c r="F415" s="799" t="s">
        <v>61</v>
      </c>
      <c r="G415" s="800" t="s">
        <v>44</v>
      </c>
      <c r="H415" s="800" t="s">
        <v>38</v>
      </c>
      <c r="I415" s="801" t="s">
        <v>293</v>
      </c>
      <c r="J415" s="55" t="s">
        <v>119</v>
      </c>
      <c r="K415" s="69">
        <v>450</v>
      </c>
      <c r="L415" s="69">
        <f>M415-K415</f>
        <v>0</v>
      </c>
      <c r="M415" s="69">
        <v>450</v>
      </c>
      <c r="N415" s="69">
        <v>450</v>
      </c>
    </row>
    <row r="416" spans="1:14" s="52" customFormat="1" ht="18" x14ac:dyDescent="0.35">
      <c r="A416" s="56"/>
      <c r="B416" s="610" t="s">
        <v>186</v>
      </c>
      <c r="C416" s="68" t="s">
        <v>334</v>
      </c>
      <c r="D416" s="55" t="s">
        <v>223</v>
      </c>
      <c r="E416" s="55"/>
      <c r="F416" s="799"/>
      <c r="G416" s="800"/>
      <c r="H416" s="800"/>
      <c r="I416" s="801"/>
      <c r="J416" s="55"/>
      <c r="K416" s="69">
        <f>K417+K436</f>
        <v>44213</v>
      </c>
      <c r="L416" s="69">
        <f t="shared" ref="L416" si="154">L417+L436</f>
        <v>0</v>
      </c>
      <c r="M416" s="69">
        <f>M417+M436</f>
        <v>44213</v>
      </c>
      <c r="N416" s="69">
        <f>N417+N436</f>
        <v>44197</v>
      </c>
    </row>
    <row r="417" spans="1:14" s="52" customFormat="1" ht="18" x14ac:dyDescent="0.35">
      <c r="A417" s="56"/>
      <c r="B417" s="610" t="s">
        <v>188</v>
      </c>
      <c r="C417" s="68" t="s">
        <v>334</v>
      </c>
      <c r="D417" s="55" t="s">
        <v>223</v>
      </c>
      <c r="E417" s="55" t="s">
        <v>36</v>
      </c>
      <c r="F417" s="799"/>
      <c r="G417" s="800"/>
      <c r="H417" s="800"/>
      <c r="I417" s="801"/>
      <c r="J417" s="55"/>
      <c r="K417" s="69">
        <f>K418</f>
        <v>32058.3</v>
      </c>
      <c r="L417" s="69">
        <f t="shared" ref="L417" si="155">L418</f>
        <v>0</v>
      </c>
      <c r="M417" s="69">
        <f>M418</f>
        <v>32058.3</v>
      </c>
      <c r="N417" s="69">
        <f>N418</f>
        <v>32037.599999999999</v>
      </c>
    </row>
    <row r="418" spans="1:14" s="52" customFormat="1" ht="54" x14ac:dyDescent="0.35">
      <c r="A418" s="56"/>
      <c r="B418" s="659" t="s">
        <v>211</v>
      </c>
      <c r="C418" s="68" t="s">
        <v>334</v>
      </c>
      <c r="D418" s="55" t="s">
        <v>223</v>
      </c>
      <c r="E418" s="55" t="s">
        <v>36</v>
      </c>
      <c r="F418" s="799" t="s">
        <v>61</v>
      </c>
      <c r="G418" s="800" t="s">
        <v>41</v>
      </c>
      <c r="H418" s="800" t="s">
        <v>42</v>
      </c>
      <c r="I418" s="801" t="s">
        <v>43</v>
      </c>
      <c r="J418" s="55"/>
      <c r="K418" s="69">
        <f>K419+K430</f>
        <v>32058.3</v>
      </c>
      <c r="L418" s="69">
        <f t="shared" ref="L418" si="156">L419+L430</f>
        <v>0</v>
      </c>
      <c r="M418" s="69">
        <f>M419+M430</f>
        <v>32058.3</v>
      </c>
      <c r="N418" s="69">
        <f>N419+N430</f>
        <v>32037.599999999999</v>
      </c>
    </row>
    <row r="419" spans="1:14" s="52" customFormat="1" ht="72" x14ac:dyDescent="0.35">
      <c r="A419" s="56"/>
      <c r="B419" s="659" t="s">
        <v>212</v>
      </c>
      <c r="C419" s="68" t="s">
        <v>334</v>
      </c>
      <c r="D419" s="55" t="s">
        <v>223</v>
      </c>
      <c r="E419" s="55" t="s">
        <v>36</v>
      </c>
      <c r="F419" s="72" t="s">
        <v>61</v>
      </c>
      <c r="G419" s="138" t="s">
        <v>44</v>
      </c>
      <c r="H419" s="138" t="s">
        <v>42</v>
      </c>
      <c r="I419" s="139" t="s">
        <v>43</v>
      </c>
      <c r="J419" s="140"/>
      <c r="K419" s="69">
        <f>K420+K427</f>
        <v>31579.599999999999</v>
      </c>
      <c r="L419" s="69">
        <f t="shared" ref="L419" si="157">L420+L427</f>
        <v>0</v>
      </c>
      <c r="M419" s="69">
        <f>M420+M427</f>
        <v>31579.599999999999</v>
      </c>
      <c r="N419" s="69">
        <f>N420+N427</f>
        <v>31578.799999999999</v>
      </c>
    </row>
    <row r="420" spans="1:14" s="52" customFormat="1" ht="18" x14ac:dyDescent="0.35">
      <c r="A420" s="56"/>
      <c r="B420" s="610" t="s">
        <v>337</v>
      </c>
      <c r="C420" s="68" t="s">
        <v>334</v>
      </c>
      <c r="D420" s="55" t="s">
        <v>223</v>
      </c>
      <c r="E420" s="55" t="s">
        <v>36</v>
      </c>
      <c r="F420" s="72" t="s">
        <v>61</v>
      </c>
      <c r="G420" s="138" t="s">
        <v>44</v>
      </c>
      <c r="H420" s="138" t="s">
        <v>61</v>
      </c>
      <c r="I420" s="139" t="s">
        <v>43</v>
      </c>
      <c r="J420" s="140"/>
      <c r="K420" s="69">
        <f>K421+K423+K425</f>
        <v>16259.3</v>
      </c>
      <c r="L420" s="69">
        <f t="shared" ref="L420" si="158">L421+L423+L425</f>
        <v>0</v>
      </c>
      <c r="M420" s="69">
        <f>M421+M423+M425</f>
        <v>16259.3</v>
      </c>
      <c r="N420" s="69">
        <f>N421+N423+N425</f>
        <v>16231</v>
      </c>
    </row>
    <row r="421" spans="1:14" s="52" customFormat="1" ht="36" x14ac:dyDescent="0.35">
      <c r="A421" s="56"/>
      <c r="B421" s="686" t="s">
        <v>484</v>
      </c>
      <c r="C421" s="68" t="s">
        <v>334</v>
      </c>
      <c r="D421" s="55" t="s">
        <v>223</v>
      </c>
      <c r="E421" s="55" t="s">
        <v>36</v>
      </c>
      <c r="F421" s="72" t="s">
        <v>61</v>
      </c>
      <c r="G421" s="138" t="s">
        <v>44</v>
      </c>
      <c r="H421" s="138" t="s">
        <v>61</v>
      </c>
      <c r="I421" s="139" t="s">
        <v>89</v>
      </c>
      <c r="J421" s="140"/>
      <c r="K421" s="69">
        <f t="shared" ref="K421:N421" si="159">K422</f>
        <v>15497.9</v>
      </c>
      <c r="L421" s="69">
        <f t="shared" si="159"/>
        <v>0</v>
      </c>
      <c r="M421" s="69">
        <f t="shared" si="159"/>
        <v>15497.9</v>
      </c>
      <c r="N421" s="69">
        <f t="shared" si="159"/>
        <v>15458</v>
      </c>
    </row>
    <row r="422" spans="1:14" s="52" customFormat="1" ht="54" x14ac:dyDescent="0.35">
      <c r="A422" s="56"/>
      <c r="B422" s="617" t="s">
        <v>74</v>
      </c>
      <c r="C422" s="68" t="s">
        <v>334</v>
      </c>
      <c r="D422" s="55" t="s">
        <v>223</v>
      </c>
      <c r="E422" s="55" t="s">
        <v>36</v>
      </c>
      <c r="F422" s="799" t="s">
        <v>61</v>
      </c>
      <c r="G422" s="800" t="s">
        <v>44</v>
      </c>
      <c r="H422" s="800" t="s">
        <v>61</v>
      </c>
      <c r="I422" s="801" t="s">
        <v>89</v>
      </c>
      <c r="J422" s="55" t="s">
        <v>75</v>
      </c>
      <c r="K422" s="69">
        <f>15492.5+5.4</f>
        <v>15497.9</v>
      </c>
      <c r="L422" s="69">
        <f>M422-K422</f>
        <v>0</v>
      </c>
      <c r="M422" s="69">
        <f>15492.5+5.4</f>
        <v>15497.9</v>
      </c>
      <c r="N422" s="69">
        <f>15503.2-45.2</f>
        <v>15458</v>
      </c>
    </row>
    <row r="423" spans="1:14" s="52" customFormat="1" ht="36" x14ac:dyDescent="0.35">
      <c r="A423" s="56"/>
      <c r="B423" s="617" t="s">
        <v>335</v>
      </c>
      <c r="C423" s="68" t="s">
        <v>334</v>
      </c>
      <c r="D423" s="55" t="s">
        <v>223</v>
      </c>
      <c r="E423" s="55" t="s">
        <v>36</v>
      </c>
      <c r="F423" s="799" t="s">
        <v>61</v>
      </c>
      <c r="G423" s="800" t="s">
        <v>44</v>
      </c>
      <c r="H423" s="800" t="s">
        <v>61</v>
      </c>
      <c r="I423" s="801" t="s">
        <v>336</v>
      </c>
      <c r="J423" s="55"/>
      <c r="K423" s="69">
        <f>K424</f>
        <v>321.8</v>
      </c>
      <c r="L423" s="69">
        <f t="shared" ref="L423" si="160">L424</f>
        <v>0</v>
      </c>
      <c r="M423" s="69">
        <f>M424</f>
        <v>321.8</v>
      </c>
      <c r="N423" s="69">
        <f>N424</f>
        <v>321.8</v>
      </c>
    </row>
    <row r="424" spans="1:14" s="52" customFormat="1" ht="54" x14ac:dyDescent="0.35">
      <c r="A424" s="56"/>
      <c r="B424" s="617" t="s">
        <v>74</v>
      </c>
      <c r="C424" s="68" t="s">
        <v>334</v>
      </c>
      <c r="D424" s="55" t="s">
        <v>223</v>
      </c>
      <c r="E424" s="55" t="s">
        <v>36</v>
      </c>
      <c r="F424" s="799" t="s">
        <v>61</v>
      </c>
      <c r="G424" s="800" t="s">
        <v>44</v>
      </c>
      <c r="H424" s="800" t="s">
        <v>61</v>
      </c>
      <c r="I424" s="801" t="s">
        <v>336</v>
      </c>
      <c r="J424" s="55" t="s">
        <v>75</v>
      </c>
      <c r="K424" s="69">
        <f>321.8</f>
        <v>321.8</v>
      </c>
      <c r="L424" s="69">
        <f>M424-K424</f>
        <v>0</v>
      </c>
      <c r="M424" s="69">
        <f>321.8</f>
        <v>321.8</v>
      </c>
      <c r="N424" s="69">
        <v>321.8</v>
      </c>
    </row>
    <row r="425" spans="1:14" s="52" customFormat="1" ht="18" x14ac:dyDescent="0.35">
      <c r="A425" s="56"/>
      <c r="B425" s="617" t="s">
        <v>571</v>
      </c>
      <c r="C425" s="68" t="s">
        <v>334</v>
      </c>
      <c r="D425" s="55" t="s">
        <v>223</v>
      </c>
      <c r="E425" s="55" t="s">
        <v>36</v>
      </c>
      <c r="F425" s="799" t="s">
        <v>61</v>
      </c>
      <c r="G425" s="800" t="s">
        <v>44</v>
      </c>
      <c r="H425" s="800" t="s">
        <v>61</v>
      </c>
      <c r="I425" s="801" t="s">
        <v>570</v>
      </c>
      <c r="J425" s="55"/>
      <c r="K425" s="69">
        <f>K426</f>
        <v>439.6</v>
      </c>
      <c r="L425" s="69">
        <f t="shared" ref="L425" si="161">L426</f>
        <v>0</v>
      </c>
      <c r="M425" s="69">
        <f>M426</f>
        <v>439.6</v>
      </c>
      <c r="N425" s="69">
        <f>N426</f>
        <v>451.2</v>
      </c>
    </row>
    <row r="426" spans="1:14" s="52" customFormat="1" ht="54" x14ac:dyDescent="0.35">
      <c r="A426" s="56"/>
      <c r="B426" s="617" t="s">
        <v>74</v>
      </c>
      <c r="C426" s="68" t="s">
        <v>334</v>
      </c>
      <c r="D426" s="55" t="s">
        <v>223</v>
      </c>
      <c r="E426" s="55" t="s">
        <v>36</v>
      </c>
      <c r="F426" s="799" t="s">
        <v>61</v>
      </c>
      <c r="G426" s="800" t="s">
        <v>44</v>
      </c>
      <c r="H426" s="800" t="s">
        <v>61</v>
      </c>
      <c r="I426" s="801" t="s">
        <v>570</v>
      </c>
      <c r="J426" s="55" t="s">
        <v>75</v>
      </c>
      <c r="K426" s="69">
        <f>395.6+49.4-5.4</f>
        <v>439.6</v>
      </c>
      <c r="L426" s="69">
        <f>M426-K426</f>
        <v>0</v>
      </c>
      <c r="M426" s="69">
        <f>395.6+49.4-5.4</f>
        <v>439.6</v>
      </c>
      <c r="N426" s="69">
        <f>406+45.2</f>
        <v>451.2</v>
      </c>
    </row>
    <row r="427" spans="1:14" s="52" customFormat="1" ht="36" x14ac:dyDescent="0.35">
      <c r="A427" s="56"/>
      <c r="B427" s="617" t="s">
        <v>339</v>
      </c>
      <c r="C427" s="68" t="s">
        <v>334</v>
      </c>
      <c r="D427" s="55" t="s">
        <v>223</v>
      </c>
      <c r="E427" s="55" t="s">
        <v>36</v>
      </c>
      <c r="F427" s="72" t="s">
        <v>61</v>
      </c>
      <c r="G427" s="138" t="s">
        <v>44</v>
      </c>
      <c r="H427" s="138" t="s">
        <v>50</v>
      </c>
      <c r="I427" s="801" t="s">
        <v>43</v>
      </c>
      <c r="J427" s="55"/>
      <c r="K427" s="69">
        <f t="shared" ref="K427:N428" si="162">K428</f>
        <v>15320.3</v>
      </c>
      <c r="L427" s="69">
        <f t="shared" si="162"/>
        <v>0</v>
      </c>
      <c r="M427" s="69">
        <f t="shared" si="162"/>
        <v>15320.3</v>
      </c>
      <c r="N427" s="69">
        <f t="shared" si="162"/>
        <v>15347.8</v>
      </c>
    </row>
    <row r="428" spans="1:14" s="52" customFormat="1" ht="36" x14ac:dyDescent="0.35">
      <c r="A428" s="56"/>
      <c r="B428" s="686" t="s">
        <v>484</v>
      </c>
      <c r="C428" s="68" t="s">
        <v>334</v>
      </c>
      <c r="D428" s="55" t="s">
        <v>223</v>
      </c>
      <c r="E428" s="55" t="s">
        <v>36</v>
      </c>
      <c r="F428" s="72" t="s">
        <v>61</v>
      </c>
      <c r="G428" s="138" t="s">
        <v>44</v>
      </c>
      <c r="H428" s="138" t="s">
        <v>50</v>
      </c>
      <c r="I428" s="139" t="s">
        <v>89</v>
      </c>
      <c r="J428" s="140"/>
      <c r="K428" s="69">
        <f t="shared" si="162"/>
        <v>15320.3</v>
      </c>
      <c r="L428" s="69">
        <f t="shared" si="162"/>
        <v>0</v>
      </c>
      <c r="M428" s="69">
        <f t="shared" si="162"/>
        <v>15320.3</v>
      </c>
      <c r="N428" s="69">
        <f t="shared" si="162"/>
        <v>15347.8</v>
      </c>
    </row>
    <row r="429" spans="1:14" s="52" customFormat="1" ht="108" x14ac:dyDescent="0.35">
      <c r="A429" s="56"/>
      <c r="B429" s="610" t="s">
        <v>48</v>
      </c>
      <c r="C429" s="68" t="s">
        <v>334</v>
      </c>
      <c r="D429" s="55" t="s">
        <v>223</v>
      </c>
      <c r="E429" s="55" t="s">
        <v>36</v>
      </c>
      <c r="F429" s="799" t="s">
        <v>61</v>
      </c>
      <c r="G429" s="800" t="s">
        <v>44</v>
      </c>
      <c r="H429" s="800" t="s">
        <v>50</v>
      </c>
      <c r="I429" s="801" t="s">
        <v>89</v>
      </c>
      <c r="J429" s="55" t="s">
        <v>49</v>
      </c>
      <c r="K429" s="69">
        <v>15320.3</v>
      </c>
      <c r="L429" s="69">
        <f>M429-K429</f>
        <v>0</v>
      </c>
      <c r="M429" s="69">
        <v>15320.3</v>
      </c>
      <c r="N429" s="69">
        <v>15347.8</v>
      </c>
    </row>
    <row r="430" spans="1:14" s="52" customFormat="1" ht="54" x14ac:dyDescent="0.35">
      <c r="A430" s="56"/>
      <c r="B430" s="610" t="s">
        <v>347</v>
      </c>
      <c r="C430" s="68" t="s">
        <v>334</v>
      </c>
      <c r="D430" s="55" t="s">
        <v>223</v>
      </c>
      <c r="E430" s="55" t="s">
        <v>36</v>
      </c>
      <c r="F430" s="72" t="s">
        <v>61</v>
      </c>
      <c r="G430" s="138" t="s">
        <v>87</v>
      </c>
      <c r="H430" s="138" t="s">
        <v>42</v>
      </c>
      <c r="I430" s="801" t="s">
        <v>43</v>
      </c>
      <c r="J430" s="55"/>
      <c r="K430" s="69">
        <f>K431</f>
        <v>478.7</v>
      </c>
      <c r="L430" s="69">
        <f t="shared" ref="L430" si="163">L431</f>
        <v>0</v>
      </c>
      <c r="M430" s="69">
        <f>M431</f>
        <v>478.7</v>
      </c>
      <c r="N430" s="69">
        <f>N431</f>
        <v>458.8</v>
      </c>
    </row>
    <row r="431" spans="1:14" s="52" customFormat="1" ht="90" x14ac:dyDescent="0.35">
      <c r="A431" s="56"/>
      <c r="B431" s="617" t="s">
        <v>340</v>
      </c>
      <c r="C431" s="68" t="s">
        <v>334</v>
      </c>
      <c r="D431" s="55" t="s">
        <v>223</v>
      </c>
      <c r="E431" s="55" t="s">
        <v>36</v>
      </c>
      <c r="F431" s="72" t="s">
        <v>61</v>
      </c>
      <c r="G431" s="138" t="s">
        <v>87</v>
      </c>
      <c r="H431" s="138" t="s">
        <v>61</v>
      </c>
      <c r="I431" s="801" t="s">
        <v>43</v>
      </c>
      <c r="J431" s="55"/>
      <c r="K431" s="69">
        <f>K434+K432</f>
        <v>478.7</v>
      </c>
      <c r="L431" s="69">
        <f t="shared" ref="L431" si="164">L434+L432</f>
        <v>0</v>
      </c>
      <c r="M431" s="69">
        <f>M434+M432</f>
        <v>478.7</v>
      </c>
      <c r="N431" s="69">
        <f>N434+N432</f>
        <v>458.8</v>
      </c>
    </row>
    <row r="432" spans="1:14" s="52" customFormat="1" ht="36" x14ac:dyDescent="0.35">
      <c r="A432" s="56"/>
      <c r="B432" s="617" t="s">
        <v>335</v>
      </c>
      <c r="C432" s="68" t="s">
        <v>334</v>
      </c>
      <c r="D432" s="55" t="s">
        <v>223</v>
      </c>
      <c r="E432" s="55" t="s">
        <v>36</v>
      </c>
      <c r="F432" s="72" t="s">
        <v>61</v>
      </c>
      <c r="G432" s="138" t="s">
        <v>87</v>
      </c>
      <c r="H432" s="138" t="s">
        <v>61</v>
      </c>
      <c r="I432" s="801" t="s">
        <v>336</v>
      </c>
      <c r="J432" s="55"/>
      <c r="K432" s="69">
        <f>K433</f>
        <v>434.3</v>
      </c>
      <c r="L432" s="69">
        <f t="shared" ref="L432" si="165">L433</f>
        <v>0</v>
      </c>
      <c r="M432" s="69">
        <f>M433</f>
        <v>434.3</v>
      </c>
      <c r="N432" s="69">
        <f>N433</f>
        <v>414.40000000000003</v>
      </c>
    </row>
    <row r="433" spans="1:14" s="52" customFormat="1" ht="54" x14ac:dyDescent="0.35">
      <c r="A433" s="56"/>
      <c r="B433" s="610" t="s">
        <v>53</v>
      </c>
      <c r="C433" s="68" t="s">
        <v>334</v>
      </c>
      <c r="D433" s="55" t="s">
        <v>223</v>
      </c>
      <c r="E433" s="55" t="s">
        <v>36</v>
      </c>
      <c r="F433" s="72" t="s">
        <v>61</v>
      </c>
      <c r="G433" s="138" t="s">
        <v>87</v>
      </c>
      <c r="H433" s="138" t="s">
        <v>61</v>
      </c>
      <c r="I433" s="801" t="s">
        <v>336</v>
      </c>
      <c r="J433" s="55" t="s">
        <v>54</v>
      </c>
      <c r="K433" s="69">
        <f>418.8+15.5</f>
        <v>434.3</v>
      </c>
      <c r="L433" s="69">
        <f>M433-K433</f>
        <v>0</v>
      </c>
      <c r="M433" s="69">
        <f>418.8+15.5</f>
        <v>434.3</v>
      </c>
      <c r="N433" s="69">
        <f>418.8-4.4</f>
        <v>414.40000000000003</v>
      </c>
    </row>
    <row r="434" spans="1:14" s="52" customFormat="1" ht="288" x14ac:dyDescent="0.35">
      <c r="A434" s="56"/>
      <c r="B434" s="617" t="s">
        <v>654</v>
      </c>
      <c r="C434" s="68" t="s">
        <v>334</v>
      </c>
      <c r="D434" s="55" t="s">
        <v>223</v>
      </c>
      <c r="E434" s="55" t="s">
        <v>36</v>
      </c>
      <c r="F434" s="799" t="s">
        <v>61</v>
      </c>
      <c r="G434" s="800" t="s">
        <v>87</v>
      </c>
      <c r="H434" s="800" t="s">
        <v>61</v>
      </c>
      <c r="I434" s="801" t="s">
        <v>433</v>
      </c>
      <c r="J434" s="55"/>
      <c r="K434" s="69">
        <f>K435</f>
        <v>44.4</v>
      </c>
      <c r="L434" s="69">
        <f t="shared" ref="L434" si="166">L435</f>
        <v>0</v>
      </c>
      <c r="M434" s="69">
        <f>M435</f>
        <v>44.4</v>
      </c>
      <c r="N434" s="69">
        <f>N435</f>
        <v>44.4</v>
      </c>
    </row>
    <row r="435" spans="1:14" s="52" customFormat="1" ht="54" x14ac:dyDescent="0.35">
      <c r="A435" s="56"/>
      <c r="B435" s="617" t="s">
        <v>74</v>
      </c>
      <c r="C435" s="68" t="s">
        <v>334</v>
      </c>
      <c r="D435" s="55" t="s">
        <v>223</v>
      </c>
      <c r="E435" s="55" t="s">
        <v>36</v>
      </c>
      <c r="F435" s="799" t="s">
        <v>61</v>
      </c>
      <c r="G435" s="800" t="s">
        <v>87</v>
      </c>
      <c r="H435" s="800" t="s">
        <v>61</v>
      </c>
      <c r="I435" s="801" t="s">
        <v>433</v>
      </c>
      <c r="J435" s="55" t="s">
        <v>75</v>
      </c>
      <c r="K435" s="69">
        <f>40+4.4</f>
        <v>44.4</v>
      </c>
      <c r="L435" s="69">
        <f>M435-K435</f>
        <v>0</v>
      </c>
      <c r="M435" s="69">
        <f>40+4.4</f>
        <v>44.4</v>
      </c>
      <c r="N435" s="69">
        <f>40+4.4</f>
        <v>44.4</v>
      </c>
    </row>
    <row r="436" spans="1:14" s="52" customFormat="1" ht="36" x14ac:dyDescent="0.35">
      <c r="A436" s="56"/>
      <c r="B436" s="610" t="s">
        <v>341</v>
      </c>
      <c r="C436" s="68" t="s">
        <v>334</v>
      </c>
      <c r="D436" s="55" t="s">
        <v>223</v>
      </c>
      <c r="E436" s="55" t="s">
        <v>50</v>
      </c>
      <c r="F436" s="72"/>
      <c r="G436" s="138"/>
      <c r="H436" s="138"/>
      <c r="I436" s="139"/>
      <c r="J436" s="140"/>
      <c r="K436" s="69">
        <f t="shared" ref="K436:N438" si="167">K437</f>
        <v>12154.7</v>
      </c>
      <c r="L436" s="69">
        <f t="shared" si="167"/>
        <v>0</v>
      </c>
      <c r="M436" s="69">
        <f t="shared" si="167"/>
        <v>12154.7</v>
      </c>
      <c r="N436" s="69">
        <f t="shared" si="167"/>
        <v>12159.400000000001</v>
      </c>
    </row>
    <row r="437" spans="1:14" s="52" customFormat="1" ht="54" x14ac:dyDescent="0.35">
      <c r="A437" s="56"/>
      <c r="B437" s="659" t="s">
        <v>211</v>
      </c>
      <c r="C437" s="68" t="s">
        <v>334</v>
      </c>
      <c r="D437" s="55" t="s">
        <v>223</v>
      </c>
      <c r="E437" s="55" t="s">
        <v>50</v>
      </c>
      <c r="F437" s="72" t="s">
        <v>61</v>
      </c>
      <c r="G437" s="138" t="s">
        <v>41</v>
      </c>
      <c r="H437" s="138" t="s">
        <v>42</v>
      </c>
      <c r="I437" s="139" t="s">
        <v>43</v>
      </c>
      <c r="J437" s="140"/>
      <c r="K437" s="69">
        <f t="shared" si="167"/>
        <v>12154.7</v>
      </c>
      <c r="L437" s="69">
        <f t="shared" si="167"/>
        <v>0</v>
      </c>
      <c r="M437" s="69">
        <f t="shared" si="167"/>
        <v>12154.7</v>
      </c>
      <c r="N437" s="69">
        <f t="shared" si="167"/>
        <v>12159.400000000001</v>
      </c>
    </row>
    <row r="438" spans="1:14" s="52" customFormat="1" ht="54" x14ac:dyDescent="0.35">
      <c r="A438" s="56"/>
      <c r="B438" s="610" t="s">
        <v>213</v>
      </c>
      <c r="C438" s="68" t="s">
        <v>334</v>
      </c>
      <c r="D438" s="55" t="s">
        <v>223</v>
      </c>
      <c r="E438" s="55" t="s">
        <v>50</v>
      </c>
      <c r="F438" s="799" t="s">
        <v>61</v>
      </c>
      <c r="G438" s="800" t="s">
        <v>29</v>
      </c>
      <c r="H438" s="800" t="s">
        <v>42</v>
      </c>
      <c r="I438" s="801" t="s">
        <v>43</v>
      </c>
      <c r="J438" s="55"/>
      <c r="K438" s="69">
        <f t="shared" si="167"/>
        <v>12154.7</v>
      </c>
      <c r="L438" s="69">
        <f t="shared" si="167"/>
        <v>0</v>
      </c>
      <c r="M438" s="69">
        <f t="shared" si="167"/>
        <v>12154.7</v>
      </c>
      <c r="N438" s="69">
        <f t="shared" si="167"/>
        <v>12159.400000000001</v>
      </c>
    </row>
    <row r="439" spans="1:14" s="52" customFormat="1" ht="36" x14ac:dyDescent="0.35">
      <c r="A439" s="56"/>
      <c r="B439" s="610" t="s">
        <v>296</v>
      </c>
      <c r="C439" s="68" t="s">
        <v>334</v>
      </c>
      <c r="D439" s="55" t="s">
        <v>223</v>
      </c>
      <c r="E439" s="55" t="s">
        <v>50</v>
      </c>
      <c r="F439" s="799" t="s">
        <v>61</v>
      </c>
      <c r="G439" s="800" t="s">
        <v>29</v>
      </c>
      <c r="H439" s="800" t="s">
        <v>36</v>
      </c>
      <c r="I439" s="801" t="s">
        <v>43</v>
      </c>
      <c r="J439" s="55"/>
      <c r="K439" s="69">
        <f>K440+K444</f>
        <v>12154.7</v>
      </c>
      <c r="L439" s="69">
        <f t="shared" ref="L439" si="168">L440+L444</f>
        <v>0</v>
      </c>
      <c r="M439" s="69">
        <f>M440+M444</f>
        <v>12154.7</v>
      </c>
      <c r="N439" s="69">
        <f>N440+N444</f>
        <v>12159.400000000001</v>
      </c>
    </row>
    <row r="440" spans="1:14" s="52" customFormat="1" ht="36" x14ac:dyDescent="0.35">
      <c r="A440" s="56"/>
      <c r="B440" s="610" t="s">
        <v>46</v>
      </c>
      <c r="C440" s="68" t="s">
        <v>334</v>
      </c>
      <c r="D440" s="55" t="s">
        <v>223</v>
      </c>
      <c r="E440" s="55" t="s">
        <v>50</v>
      </c>
      <c r="F440" s="799" t="s">
        <v>61</v>
      </c>
      <c r="G440" s="800" t="s">
        <v>29</v>
      </c>
      <c r="H440" s="800" t="s">
        <v>36</v>
      </c>
      <c r="I440" s="801" t="s">
        <v>47</v>
      </c>
      <c r="J440" s="140"/>
      <c r="K440" s="69">
        <f>K441+K442+K443</f>
        <v>3689.2000000000003</v>
      </c>
      <c r="L440" s="69">
        <f t="shared" ref="L440" si="169">L441+L442+L443</f>
        <v>0</v>
      </c>
      <c r="M440" s="69">
        <f>M441+M442+M443</f>
        <v>3689.2000000000003</v>
      </c>
      <c r="N440" s="69">
        <f>N441+N442+N443</f>
        <v>3690.2000000000003</v>
      </c>
    </row>
    <row r="441" spans="1:14" s="52" customFormat="1" ht="108" x14ac:dyDescent="0.35">
      <c r="A441" s="56"/>
      <c r="B441" s="610" t="s">
        <v>48</v>
      </c>
      <c r="C441" s="68" t="s">
        <v>334</v>
      </c>
      <c r="D441" s="55" t="s">
        <v>223</v>
      </c>
      <c r="E441" s="55" t="s">
        <v>50</v>
      </c>
      <c r="F441" s="799" t="s">
        <v>61</v>
      </c>
      <c r="G441" s="800" t="s">
        <v>29</v>
      </c>
      <c r="H441" s="800" t="s">
        <v>36</v>
      </c>
      <c r="I441" s="801" t="s">
        <v>47</v>
      </c>
      <c r="J441" s="140" t="s">
        <v>49</v>
      </c>
      <c r="K441" s="69">
        <v>3417.9</v>
      </c>
      <c r="L441" s="69">
        <f>M441-K441</f>
        <v>0</v>
      </c>
      <c r="M441" s="69">
        <v>3417.9</v>
      </c>
      <c r="N441" s="69">
        <v>3417.9</v>
      </c>
    </row>
    <row r="442" spans="1:14" s="52" customFormat="1" ht="54" x14ac:dyDescent="0.35">
      <c r="A442" s="56"/>
      <c r="B442" s="610" t="s">
        <v>53</v>
      </c>
      <c r="C442" s="68" t="s">
        <v>334</v>
      </c>
      <c r="D442" s="55" t="s">
        <v>223</v>
      </c>
      <c r="E442" s="55" t="s">
        <v>50</v>
      </c>
      <c r="F442" s="799" t="s">
        <v>61</v>
      </c>
      <c r="G442" s="800" t="s">
        <v>29</v>
      </c>
      <c r="H442" s="800" t="s">
        <v>36</v>
      </c>
      <c r="I442" s="801" t="s">
        <v>47</v>
      </c>
      <c r="J442" s="140" t="s">
        <v>54</v>
      </c>
      <c r="K442" s="69">
        <v>262.89999999999998</v>
      </c>
      <c r="L442" s="69">
        <f>M442-K442</f>
        <v>0</v>
      </c>
      <c r="M442" s="69">
        <v>262.89999999999998</v>
      </c>
      <c r="N442" s="69">
        <v>263.89999999999998</v>
      </c>
    </row>
    <row r="443" spans="1:14" s="52" customFormat="1" ht="18" x14ac:dyDescent="0.35">
      <c r="A443" s="56"/>
      <c r="B443" s="610" t="s">
        <v>55</v>
      </c>
      <c r="C443" s="68" t="s">
        <v>334</v>
      </c>
      <c r="D443" s="55" t="s">
        <v>223</v>
      </c>
      <c r="E443" s="55" t="s">
        <v>50</v>
      </c>
      <c r="F443" s="799" t="s">
        <v>61</v>
      </c>
      <c r="G443" s="800" t="s">
        <v>29</v>
      </c>
      <c r="H443" s="800" t="s">
        <v>36</v>
      </c>
      <c r="I443" s="801" t="s">
        <v>47</v>
      </c>
      <c r="J443" s="55" t="s">
        <v>56</v>
      </c>
      <c r="K443" s="69">
        <v>8.4</v>
      </c>
      <c r="L443" s="69">
        <f>M443-K443</f>
        <v>0</v>
      </c>
      <c r="M443" s="69">
        <v>8.4</v>
      </c>
      <c r="N443" s="69">
        <v>8.4</v>
      </c>
    </row>
    <row r="444" spans="1:14" s="52" customFormat="1" ht="36" x14ac:dyDescent="0.35">
      <c r="A444" s="56"/>
      <c r="B444" s="686" t="s">
        <v>484</v>
      </c>
      <c r="C444" s="68" t="s">
        <v>334</v>
      </c>
      <c r="D444" s="55" t="s">
        <v>223</v>
      </c>
      <c r="E444" s="55" t="s">
        <v>50</v>
      </c>
      <c r="F444" s="799" t="s">
        <v>61</v>
      </c>
      <c r="G444" s="800" t="s">
        <v>29</v>
      </c>
      <c r="H444" s="800" t="s">
        <v>36</v>
      </c>
      <c r="I444" s="801" t="s">
        <v>89</v>
      </c>
      <c r="J444" s="55"/>
      <c r="K444" s="69">
        <f>K445+K446+K447</f>
        <v>8465.5</v>
      </c>
      <c r="L444" s="69">
        <f t="shared" ref="L444" si="170">L445+L446+L447</f>
        <v>0</v>
      </c>
      <c r="M444" s="69">
        <f>M445+M446+M447</f>
        <v>8465.5</v>
      </c>
      <c r="N444" s="69">
        <f>N445+N446+N447</f>
        <v>8469.2000000000007</v>
      </c>
    </row>
    <row r="445" spans="1:14" s="52" customFormat="1" ht="108" x14ac:dyDescent="0.35">
      <c r="A445" s="56"/>
      <c r="B445" s="610" t="s">
        <v>48</v>
      </c>
      <c r="C445" s="195" t="s">
        <v>334</v>
      </c>
      <c r="D445" s="140" t="s">
        <v>223</v>
      </c>
      <c r="E445" s="140" t="s">
        <v>50</v>
      </c>
      <c r="F445" s="799" t="s">
        <v>61</v>
      </c>
      <c r="G445" s="800" t="s">
        <v>29</v>
      </c>
      <c r="H445" s="800" t="s">
        <v>36</v>
      </c>
      <c r="I445" s="801" t="s">
        <v>89</v>
      </c>
      <c r="J445" s="140" t="s">
        <v>49</v>
      </c>
      <c r="K445" s="69">
        <v>7800.2</v>
      </c>
      <c r="L445" s="69">
        <f>M445-K445</f>
        <v>0</v>
      </c>
      <c r="M445" s="69">
        <v>7800.2</v>
      </c>
      <c r="N445" s="69">
        <v>7800.2</v>
      </c>
    </row>
    <row r="446" spans="1:14" s="52" customFormat="1" ht="54" x14ac:dyDescent="0.35">
      <c r="A446" s="56"/>
      <c r="B446" s="610" t="s">
        <v>53</v>
      </c>
      <c r="C446" s="195" t="s">
        <v>334</v>
      </c>
      <c r="D446" s="140" t="s">
        <v>223</v>
      </c>
      <c r="E446" s="140" t="s">
        <v>50</v>
      </c>
      <c r="F446" s="799" t="s">
        <v>61</v>
      </c>
      <c r="G446" s="800" t="s">
        <v>29</v>
      </c>
      <c r="H446" s="800" t="s">
        <v>36</v>
      </c>
      <c r="I446" s="801" t="s">
        <v>89</v>
      </c>
      <c r="J446" s="140" t="s">
        <v>54</v>
      </c>
      <c r="K446" s="69">
        <v>663.8</v>
      </c>
      <c r="L446" s="69">
        <f>M446-K446</f>
        <v>0</v>
      </c>
      <c r="M446" s="69">
        <v>663.8</v>
      </c>
      <c r="N446" s="69">
        <v>667.5</v>
      </c>
    </row>
    <row r="447" spans="1:14" s="52" customFormat="1" ht="18" x14ac:dyDescent="0.35">
      <c r="A447" s="56"/>
      <c r="B447" s="610" t="s">
        <v>55</v>
      </c>
      <c r="C447" s="195" t="s">
        <v>334</v>
      </c>
      <c r="D447" s="140" t="s">
        <v>223</v>
      </c>
      <c r="E447" s="140" t="s">
        <v>50</v>
      </c>
      <c r="F447" s="799" t="s">
        <v>61</v>
      </c>
      <c r="G447" s="800" t="s">
        <v>29</v>
      </c>
      <c r="H447" s="800" t="s">
        <v>36</v>
      </c>
      <c r="I447" s="801" t="s">
        <v>89</v>
      </c>
      <c r="J447" s="55" t="s">
        <v>56</v>
      </c>
      <c r="K447" s="69">
        <v>1.5</v>
      </c>
      <c r="L447" s="69">
        <f>M447-K447</f>
        <v>0</v>
      </c>
      <c r="M447" s="69">
        <v>1.5</v>
      </c>
      <c r="N447" s="69">
        <v>1.5</v>
      </c>
    </row>
    <row r="448" spans="1:14" s="168" customFormat="1" ht="18" x14ac:dyDescent="0.35">
      <c r="A448" s="56"/>
      <c r="B448" s="610"/>
      <c r="C448" s="195"/>
      <c r="D448" s="140"/>
      <c r="E448" s="140"/>
      <c r="F448" s="799"/>
      <c r="G448" s="800"/>
      <c r="H448" s="800"/>
      <c r="I448" s="801"/>
      <c r="J448" s="55"/>
      <c r="K448" s="69"/>
      <c r="L448" s="69"/>
      <c r="M448" s="69"/>
      <c r="N448" s="69"/>
    </row>
    <row r="449" spans="1:14" s="163" customFormat="1" ht="52.2" x14ac:dyDescent="0.3">
      <c r="A449" s="162">
        <v>7</v>
      </c>
      <c r="B449" s="656" t="s">
        <v>10</v>
      </c>
      <c r="C449" s="63" t="s">
        <v>304</v>
      </c>
      <c r="D449" s="64"/>
      <c r="E449" s="64"/>
      <c r="F449" s="65"/>
      <c r="G449" s="66"/>
      <c r="H449" s="66"/>
      <c r="I449" s="67"/>
      <c r="J449" s="64"/>
      <c r="K449" s="77">
        <f>K450+K457</f>
        <v>47256.500000000007</v>
      </c>
      <c r="L449" s="77">
        <f t="shared" ref="L449" si="171">L450+L457</f>
        <v>0</v>
      </c>
      <c r="M449" s="77">
        <f>M450+M457</f>
        <v>47256.500000000007</v>
      </c>
      <c r="N449" s="77">
        <f>N450+N457</f>
        <v>46386</v>
      </c>
    </row>
    <row r="450" spans="1:14" s="163" customFormat="1" ht="18" x14ac:dyDescent="0.35">
      <c r="A450" s="162"/>
      <c r="B450" s="607" t="s">
        <v>35</v>
      </c>
      <c r="C450" s="266" t="s">
        <v>304</v>
      </c>
      <c r="D450" s="73" t="s">
        <v>36</v>
      </c>
      <c r="E450" s="73"/>
      <c r="F450" s="258"/>
      <c r="G450" s="259"/>
      <c r="H450" s="259"/>
      <c r="I450" s="260"/>
      <c r="J450" s="73"/>
      <c r="K450" s="261">
        <f t="shared" ref="K450:M455" si="172">K451</f>
        <v>51.9</v>
      </c>
      <c r="L450" s="261">
        <f t="shared" si="172"/>
        <v>0</v>
      </c>
      <c r="M450" s="261">
        <f t="shared" si="172"/>
        <v>51.9</v>
      </c>
      <c r="N450" s="261">
        <f t="shared" ref="N450:N455" si="173">N451</f>
        <v>51.9</v>
      </c>
    </row>
    <row r="451" spans="1:14" s="163" customFormat="1" ht="18" x14ac:dyDescent="0.35">
      <c r="A451" s="162"/>
      <c r="B451" s="607" t="s">
        <v>68</v>
      </c>
      <c r="C451" s="266" t="s">
        <v>304</v>
      </c>
      <c r="D451" s="73" t="s">
        <v>36</v>
      </c>
      <c r="E451" s="73" t="s">
        <v>69</v>
      </c>
      <c r="F451" s="258"/>
      <c r="G451" s="259"/>
      <c r="H451" s="259"/>
      <c r="I451" s="260"/>
      <c r="J451" s="73"/>
      <c r="K451" s="261">
        <f t="shared" si="172"/>
        <v>51.9</v>
      </c>
      <c r="L451" s="261">
        <f t="shared" si="172"/>
        <v>0</v>
      </c>
      <c r="M451" s="261">
        <f t="shared" si="172"/>
        <v>51.9</v>
      </c>
      <c r="N451" s="261">
        <f t="shared" si="173"/>
        <v>51.9</v>
      </c>
    </row>
    <row r="452" spans="1:14" s="163" customFormat="1" ht="54" x14ac:dyDescent="0.35">
      <c r="A452" s="162"/>
      <c r="B452" s="607" t="s">
        <v>214</v>
      </c>
      <c r="C452" s="266" t="s">
        <v>304</v>
      </c>
      <c r="D452" s="73" t="s">
        <v>36</v>
      </c>
      <c r="E452" s="73" t="s">
        <v>69</v>
      </c>
      <c r="F452" s="258" t="s">
        <v>50</v>
      </c>
      <c r="G452" s="259" t="s">
        <v>41</v>
      </c>
      <c r="H452" s="259" t="s">
        <v>42</v>
      </c>
      <c r="I452" s="260" t="s">
        <v>43</v>
      </c>
      <c r="J452" s="73"/>
      <c r="K452" s="261">
        <f t="shared" si="172"/>
        <v>51.9</v>
      </c>
      <c r="L452" s="261">
        <f t="shared" si="172"/>
        <v>0</v>
      </c>
      <c r="M452" s="261">
        <f t="shared" si="172"/>
        <v>51.9</v>
      </c>
      <c r="N452" s="261">
        <f t="shared" si="173"/>
        <v>51.9</v>
      </c>
    </row>
    <row r="453" spans="1:14" s="163" customFormat="1" ht="36" x14ac:dyDescent="0.35">
      <c r="A453" s="162"/>
      <c r="B453" s="607" t="s">
        <v>217</v>
      </c>
      <c r="C453" s="266" t="s">
        <v>304</v>
      </c>
      <c r="D453" s="73" t="s">
        <v>36</v>
      </c>
      <c r="E453" s="73" t="s">
        <v>69</v>
      </c>
      <c r="F453" s="258" t="s">
        <v>50</v>
      </c>
      <c r="G453" s="259" t="s">
        <v>87</v>
      </c>
      <c r="H453" s="259" t="s">
        <v>42</v>
      </c>
      <c r="I453" s="260" t="s">
        <v>43</v>
      </c>
      <c r="J453" s="73"/>
      <c r="K453" s="261">
        <f t="shared" si="172"/>
        <v>51.9</v>
      </c>
      <c r="L453" s="261">
        <f t="shared" si="172"/>
        <v>0</v>
      </c>
      <c r="M453" s="261">
        <f t="shared" si="172"/>
        <v>51.9</v>
      </c>
      <c r="N453" s="261">
        <f t="shared" si="173"/>
        <v>51.9</v>
      </c>
    </row>
    <row r="454" spans="1:14" s="163" customFormat="1" ht="36" x14ac:dyDescent="0.35">
      <c r="A454" s="162"/>
      <c r="B454" s="607" t="s">
        <v>371</v>
      </c>
      <c r="C454" s="266" t="s">
        <v>304</v>
      </c>
      <c r="D454" s="73" t="s">
        <v>36</v>
      </c>
      <c r="E454" s="73" t="s">
        <v>69</v>
      </c>
      <c r="F454" s="258" t="s">
        <v>50</v>
      </c>
      <c r="G454" s="259" t="s">
        <v>87</v>
      </c>
      <c r="H454" s="259" t="s">
        <v>61</v>
      </c>
      <c r="I454" s="260" t="s">
        <v>43</v>
      </c>
      <c r="J454" s="73"/>
      <c r="K454" s="261">
        <f t="shared" si="172"/>
        <v>51.9</v>
      </c>
      <c r="L454" s="261">
        <f t="shared" si="172"/>
        <v>0</v>
      </c>
      <c r="M454" s="261">
        <f t="shared" si="172"/>
        <v>51.9</v>
      </c>
      <c r="N454" s="261">
        <f t="shared" si="173"/>
        <v>51.9</v>
      </c>
    </row>
    <row r="455" spans="1:14" s="163" customFormat="1" ht="54" x14ac:dyDescent="0.35">
      <c r="A455" s="162"/>
      <c r="B455" s="607" t="s">
        <v>372</v>
      </c>
      <c r="C455" s="266" t="s">
        <v>304</v>
      </c>
      <c r="D455" s="73" t="s">
        <v>36</v>
      </c>
      <c r="E455" s="73" t="s">
        <v>69</v>
      </c>
      <c r="F455" s="258" t="s">
        <v>50</v>
      </c>
      <c r="G455" s="259" t="s">
        <v>87</v>
      </c>
      <c r="H455" s="259" t="s">
        <v>61</v>
      </c>
      <c r="I455" s="260" t="s">
        <v>103</v>
      </c>
      <c r="J455" s="73"/>
      <c r="K455" s="261">
        <f>K456</f>
        <v>51.9</v>
      </c>
      <c r="L455" s="261">
        <f t="shared" si="172"/>
        <v>0</v>
      </c>
      <c r="M455" s="261">
        <f>M456</f>
        <v>51.9</v>
      </c>
      <c r="N455" s="261">
        <f t="shared" si="173"/>
        <v>51.9</v>
      </c>
    </row>
    <row r="456" spans="1:14" s="52" customFormat="1" ht="54" x14ac:dyDescent="0.35">
      <c r="A456" s="56"/>
      <c r="B456" s="645" t="s">
        <v>53</v>
      </c>
      <c r="C456" s="266" t="s">
        <v>304</v>
      </c>
      <c r="D456" s="73" t="s">
        <v>36</v>
      </c>
      <c r="E456" s="73" t="s">
        <v>69</v>
      </c>
      <c r="F456" s="258" t="s">
        <v>50</v>
      </c>
      <c r="G456" s="259" t="s">
        <v>87</v>
      </c>
      <c r="H456" s="259" t="s">
        <v>61</v>
      </c>
      <c r="I456" s="260" t="s">
        <v>103</v>
      </c>
      <c r="J456" s="73" t="s">
        <v>54</v>
      </c>
      <c r="K456" s="261">
        <v>51.9</v>
      </c>
      <c r="L456" s="69">
        <f>M456-K456</f>
        <v>0</v>
      </c>
      <c r="M456" s="261">
        <v>51.9</v>
      </c>
      <c r="N456" s="69">
        <v>51.9</v>
      </c>
    </row>
    <row r="457" spans="1:14" s="52" customFormat="1" ht="18" x14ac:dyDescent="0.35">
      <c r="A457" s="56"/>
      <c r="B457" s="645" t="s">
        <v>342</v>
      </c>
      <c r="C457" s="266" t="s">
        <v>304</v>
      </c>
      <c r="D457" s="73" t="s">
        <v>65</v>
      </c>
      <c r="E457" s="73"/>
      <c r="F457" s="258"/>
      <c r="G457" s="259"/>
      <c r="H457" s="259"/>
      <c r="I457" s="260"/>
      <c r="J457" s="73"/>
      <c r="K457" s="261">
        <f>K458+K468+K492+K474</f>
        <v>47204.600000000006</v>
      </c>
      <c r="L457" s="261">
        <f t="shared" ref="L457" si="174">L458+L468+L492+L474</f>
        <v>0</v>
      </c>
      <c r="M457" s="261">
        <f>M458+M468+M492+M474</f>
        <v>47204.600000000006</v>
      </c>
      <c r="N457" s="261">
        <f>N458+N468+N492+N474</f>
        <v>46334.1</v>
      </c>
    </row>
    <row r="458" spans="1:14" s="163" customFormat="1" ht="18" x14ac:dyDescent="0.35">
      <c r="A458" s="56"/>
      <c r="B458" s="659" t="s">
        <v>380</v>
      </c>
      <c r="C458" s="68" t="s">
        <v>304</v>
      </c>
      <c r="D458" s="55" t="s">
        <v>65</v>
      </c>
      <c r="E458" s="55" t="s">
        <v>36</v>
      </c>
      <c r="F458" s="799"/>
      <c r="G458" s="800"/>
      <c r="H458" s="800"/>
      <c r="I458" s="801"/>
      <c r="J458" s="55"/>
      <c r="K458" s="69">
        <f>K459</f>
        <v>4767.8999999999996</v>
      </c>
      <c r="L458" s="69">
        <f t="shared" ref="L458" si="175">L459</f>
        <v>0</v>
      </c>
      <c r="M458" s="69">
        <f>M459</f>
        <v>4767.8999999999996</v>
      </c>
      <c r="N458" s="69">
        <f>N459</f>
        <v>4787.5999999999995</v>
      </c>
    </row>
    <row r="459" spans="1:14" s="163" customFormat="1" ht="54" x14ac:dyDescent="0.35">
      <c r="A459" s="56"/>
      <c r="B459" s="610" t="s">
        <v>214</v>
      </c>
      <c r="C459" s="68" t="s">
        <v>304</v>
      </c>
      <c r="D459" s="55" t="s">
        <v>65</v>
      </c>
      <c r="E459" s="55" t="s">
        <v>36</v>
      </c>
      <c r="F459" s="799" t="s">
        <v>50</v>
      </c>
      <c r="G459" s="800" t="s">
        <v>41</v>
      </c>
      <c r="H459" s="800" t="s">
        <v>42</v>
      </c>
      <c r="I459" s="801" t="s">
        <v>43</v>
      </c>
      <c r="J459" s="55"/>
      <c r="K459" s="69">
        <f t="shared" ref="K459:N460" si="176">K460</f>
        <v>4767.8999999999996</v>
      </c>
      <c r="L459" s="69">
        <f t="shared" si="176"/>
        <v>0</v>
      </c>
      <c r="M459" s="69">
        <f t="shared" si="176"/>
        <v>4767.8999999999996</v>
      </c>
      <c r="N459" s="69">
        <f t="shared" si="176"/>
        <v>4787.5999999999995</v>
      </c>
    </row>
    <row r="460" spans="1:14" s="52" customFormat="1" ht="36" x14ac:dyDescent="0.35">
      <c r="A460" s="56"/>
      <c r="B460" s="610" t="s">
        <v>217</v>
      </c>
      <c r="C460" s="68" t="s">
        <v>304</v>
      </c>
      <c r="D460" s="55" t="s">
        <v>65</v>
      </c>
      <c r="E460" s="55" t="s">
        <v>36</v>
      </c>
      <c r="F460" s="799" t="s">
        <v>50</v>
      </c>
      <c r="G460" s="800" t="s">
        <v>87</v>
      </c>
      <c r="H460" s="800" t="s">
        <v>42</v>
      </c>
      <c r="I460" s="801" t="s">
        <v>43</v>
      </c>
      <c r="J460" s="55"/>
      <c r="K460" s="69">
        <f t="shared" si="176"/>
        <v>4767.8999999999996</v>
      </c>
      <c r="L460" s="69">
        <f t="shared" si="176"/>
        <v>0</v>
      </c>
      <c r="M460" s="69">
        <f t="shared" si="176"/>
        <v>4767.8999999999996</v>
      </c>
      <c r="N460" s="69">
        <f t="shared" si="176"/>
        <v>4787.5999999999995</v>
      </c>
    </row>
    <row r="461" spans="1:14" s="163" customFormat="1" ht="36" x14ac:dyDescent="0.35">
      <c r="A461" s="56"/>
      <c r="B461" s="610" t="s">
        <v>569</v>
      </c>
      <c r="C461" s="68" t="s">
        <v>304</v>
      </c>
      <c r="D461" s="55" t="s">
        <v>65</v>
      </c>
      <c r="E461" s="55" t="s">
        <v>36</v>
      </c>
      <c r="F461" s="799" t="s">
        <v>50</v>
      </c>
      <c r="G461" s="800" t="s">
        <v>87</v>
      </c>
      <c r="H461" s="800" t="s">
        <v>50</v>
      </c>
      <c r="I461" s="801" t="s">
        <v>43</v>
      </c>
      <c r="J461" s="55"/>
      <c r="K461" s="69">
        <f>K462+K466</f>
        <v>4767.8999999999996</v>
      </c>
      <c r="L461" s="69">
        <f t="shared" ref="L461" si="177">L462+L466</f>
        <v>0</v>
      </c>
      <c r="M461" s="69">
        <f>M462+M466</f>
        <v>4767.8999999999996</v>
      </c>
      <c r="N461" s="69">
        <f>N462+N466</f>
        <v>4787.5999999999995</v>
      </c>
    </row>
    <row r="462" spans="1:14" s="163" customFormat="1" ht="36" x14ac:dyDescent="0.35">
      <c r="A462" s="56"/>
      <c r="B462" s="610" t="s">
        <v>484</v>
      </c>
      <c r="C462" s="68" t="s">
        <v>304</v>
      </c>
      <c r="D462" s="55" t="s">
        <v>65</v>
      </c>
      <c r="E462" s="55" t="s">
        <v>36</v>
      </c>
      <c r="F462" s="799" t="s">
        <v>50</v>
      </c>
      <c r="G462" s="800" t="s">
        <v>87</v>
      </c>
      <c r="H462" s="800" t="s">
        <v>50</v>
      </c>
      <c r="I462" s="801" t="s">
        <v>89</v>
      </c>
      <c r="J462" s="55"/>
      <c r="K462" s="69">
        <f>SUM(K463:K465)</f>
        <v>3766.5</v>
      </c>
      <c r="L462" s="69">
        <f t="shared" ref="L462" si="178">SUM(L463:L465)</f>
        <v>0</v>
      </c>
      <c r="M462" s="69">
        <f>SUM(M463:M465)</f>
        <v>3766.5</v>
      </c>
      <c r="N462" s="69">
        <f>SUM(N463:N465)</f>
        <v>3786.2</v>
      </c>
    </row>
    <row r="463" spans="1:14" s="163" customFormat="1" ht="108" x14ac:dyDescent="0.35">
      <c r="A463" s="56"/>
      <c r="B463" s="610" t="s">
        <v>48</v>
      </c>
      <c r="C463" s="68" t="s">
        <v>304</v>
      </c>
      <c r="D463" s="55" t="s">
        <v>65</v>
      </c>
      <c r="E463" s="55" t="s">
        <v>36</v>
      </c>
      <c r="F463" s="799" t="s">
        <v>50</v>
      </c>
      <c r="G463" s="800" t="s">
        <v>87</v>
      </c>
      <c r="H463" s="800" t="s">
        <v>50</v>
      </c>
      <c r="I463" s="801" t="s">
        <v>89</v>
      </c>
      <c r="J463" s="55" t="s">
        <v>49</v>
      </c>
      <c r="K463" s="69">
        <v>2270.4</v>
      </c>
      <c r="L463" s="69">
        <f>M463-K463</f>
        <v>0</v>
      </c>
      <c r="M463" s="69">
        <v>2270.4</v>
      </c>
      <c r="N463" s="311">
        <v>2270.4</v>
      </c>
    </row>
    <row r="464" spans="1:14" s="163" customFormat="1" ht="54" x14ac:dyDescent="0.35">
      <c r="A464" s="56"/>
      <c r="B464" s="610" t="s">
        <v>53</v>
      </c>
      <c r="C464" s="68" t="s">
        <v>304</v>
      </c>
      <c r="D464" s="55" t="s">
        <v>65</v>
      </c>
      <c r="E464" s="55" t="s">
        <v>36</v>
      </c>
      <c r="F464" s="799" t="s">
        <v>50</v>
      </c>
      <c r="G464" s="800" t="s">
        <v>87</v>
      </c>
      <c r="H464" s="800" t="s">
        <v>50</v>
      </c>
      <c r="I464" s="801" t="s">
        <v>89</v>
      </c>
      <c r="J464" s="55" t="s">
        <v>54</v>
      </c>
      <c r="K464" s="69">
        <v>1489.1</v>
      </c>
      <c r="L464" s="69">
        <f>M464-K464</f>
        <v>0</v>
      </c>
      <c r="M464" s="69">
        <v>1489.1</v>
      </c>
      <c r="N464" s="311">
        <v>1509.6</v>
      </c>
    </row>
    <row r="465" spans="1:14" s="163" customFormat="1" ht="18" x14ac:dyDescent="0.35">
      <c r="A465" s="56"/>
      <c r="B465" s="610" t="s">
        <v>55</v>
      </c>
      <c r="C465" s="68" t="s">
        <v>304</v>
      </c>
      <c r="D465" s="55" t="s">
        <v>65</v>
      </c>
      <c r="E465" s="55" t="s">
        <v>36</v>
      </c>
      <c r="F465" s="799" t="s">
        <v>50</v>
      </c>
      <c r="G465" s="800" t="s">
        <v>87</v>
      </c>
      <c r="H465" s="800" t="s">
        <v>50</v>
      </c>
      <c r="I465" s="801" t="s">
        <v>89</v>
      </c>
      <c r="J465" s="55" t="s">
        <v>56</v>
      </c>
      <c r="K465" s="69">
        <v>7</v>
      </c>
      <c r="L465" s="69">
        <f>M465-K465</f>
        <v>0</v>
      </c>
      <c r="M465" s="69">
        <v>7</v>
      </c>
      <c r="N465" s="311">
        <v>6.2</v>
      </c>
    </row>
    <row r="466" spans="1:14" s="163" customFormat="1" ht="54" x14ac:dyDescent="0.35">
      <c r="A466" s="56"/>
      <c r="B466" s="610" t="s">
        <v>216</v>
      </c>
      <c r="C466" s="68" t="s">
        <v>304</v>
      </c>
      <c r="D466" s="55" t="s">
        <v>65</v>
      </c>
      <c r="E466" s="55" t="s">
        <v>36</v>
      </c>
      <c r="F466" s="799" t="s">
        <v>50</v>
      </c>
      <c r="G466" s="800" t="s">
        <v>87</v>
      </c>
      <c r="H466" s="800" t="s">
        <v>50</v>
      </c>
      <c r="I466" s="801" t="s">
        <v>306</v>
      </c>
      <c r="J466" s="55"/>
      <c r="K466" s="69">
        <f>K467</f>
        <v>1001.4</v>
      </c>
      <c r="L466" s="69">
        <f t="shared" ref="L466" si="179">L467</f>
        <v>0</v>
      </c>
      <c r="M466" s="69">
        <f>M467</f>
        <v>1001.4</v>
      </c>
      <c r="N466" s="311">
        <f>N467</f>
        <v>1001.4</v>
      </c>
    </row>
    <row r="467" spans="1:14" s="163" customFormat="1" ht="54" x14ac:dyDescent="0.35">
      <c r="A467" s="56"/>
      <c r="B467" s="610" t="s">
        <v>53</v>
      </c>
      <c r="C467" s="68" t="s">
        <v>304</v>
      </c>
      <c r="D467" s="55" t="s">
        <v>65</v>
      </c>
      <c r="E467" s="55" t="s">
        <v>36</v>
      </c>
      <c r="F467" s="799" t="s">
        <v>50</v>
      </c>
      <c r="G467" s="800" t="s">
        <v>87</v>
      </c>
      <c r="H467" s="800" t="s">
        <v>50</v>
      </c>
      <c r="I467" s="801" t="s">
        <v>306</v>
      </c>
      <c r="J467" s="55" t="s">
        <v>54</v>
      </c>
      <c r="K467" s="69">
        <v>1001.4</v>
      </c>
      <c r="L467" s="69">
        <f>M467-K467</f>
        <v>0</v>
      </c>
      <c r="M467" s="69">
        <v>1001.4</v>
      </c>
      <c r="N467" s="311">
        <v>1001.4</v>
      </c>
    </row>
    <row r="468" spans="1:14" s="163" customFormat="1" ht="18" x14ac:dyDescent="0.35">
      <c r="A468" s="56"/>
      <c r="B468" s="610" t="s">
        <v>195</v>
      </c>
      <c r="C468" s="68" t="s">
        <v>304</v>
      </c>
      <c r="D468" s="55" t="s">
        <v>65</v>
      </c>
      <c r="E468" s="55" t="s">
        <v>38</v>
      </c>
      <c r="F468" s="799"/>
      <c r="G468" s="800"/>
      <c r="H468" s="800"/>
      <c r="I468" s="801"/>
      <c r="J468" s="55"/>
      <c r="K468" s="69">
        <f>K469</f>
        <v>910.6</v>
      </c>
      <c r="L468" s="69">
        <f t="shared" ref="L468:L469" si="180">L469</f>
        <v>0</v>
      </c>
      <c r="M468" s="69">
        <f>M469</f>
        <v>910.6</v>
      </c>
      <c r="N468" s="311">
        <f>N469</f>
        <v>910.6</v>
      </c>
    </row>
    <row r="469" spans="1:14" s="163" customFormat="1" ht="54" x14ac:dyDescent="0.35">
      <c r="A469" s="56"/>
      <c r="B469" s="610" t="s">
        <v>214</v>
      </c>
      <c r="C469" s="68" t="s">
        <v>304</v>
      </c>
      <c r="D469" s="55" t="s">
        <v>65</v>
      </c>
      <c r="E469" s="55" t="s">
        <v>38</v>
      </c>
      <c r="F469" s="799" t="s">
        <v>50</v>
      </c>
      <c r="G469" s="800" t="s">
        <v>41</v>
      </c>
      <c r="H469" s="800" t="s">
        <v>42</v>
      </c>
      <c r="I469" s="801" t="s">
        <v>43</v>
      </c>
      <c r="J469" s="55"/>
      <c r="K469" s="69">
        <f>K470</f>
        <v>910.6</v>
      </c>
      <c r="L469" s="69">
        <f t="shared" si="180"/>
        <v>0</v>
      </c>
      <c r="M469" s="69">
        <f>M470</f>
        <v>910.6</v>
      </c>
      <c r="N469" s="69">
        <f>N470</f>
        <v>910.6</v>
      </c>
    </row>
    <row r="470" spans="1:14" s="163" customFormat="1" ht="36" x14ac:dyDescent="0.35">
      <c r="A470" s="56"/>
      <c r="B470" s="659" t="s">
        <v>215</v>
      </c>
      <c r="C470" s="68" t="s">
        <v>304</v>
      </c>
      <c r="D470" s="55" t="s">
        <v>65</v>
      </c>
      <c r="E470" s="55" t="s">
        <v>38</v>
      </c>
      <c r="F470" s="799" t="s">
        <v>50</v>
      </c>
      <c r="G470" s="800" t="s">
        <v>44</v>
      </c>
      <c r="H470" s="800" t="s">
        <v>42</v>
      </c>
      <c r="I470" s="801" t="s">
        <v>43</v>
      </c>
      <c r="J470" s="55"/>
      <c r="K470" s="69">
        <f t="shared" ref="K470:N472" si="181">K471</f>
        <v>910.6</v>
      </c>
      <c r="L470" s="69">
        <f t="shared" si="181"/>
        <v>0</v>
      </c>
      <c r="M470" s="69">
        <f t="shared" si="181"/>
        <v>910.6</v>
      </c>
      <c r="N470" s="69">
        <f t="shared" si="181"/>
        <v>910.6</v>
      </c>
    </row>
    <row r="471" spans="1:14" s="163" customFormat="1" ht="54" x14ac:dyDescent="0.35">
      <c r="A471" s="56"/>
      <c r="B471" s="610" t="s">
        <v>305</v>
      </c>
      <c r="C471" s="68" t="s">
        <v>304</v>
      </c>
      <c r="D471" s="55" t="s">
        <v>65</v>
      </c>
      <c r="E471" s="55" t="s">
        <v>38</v>
      </c>
      <c r="F471" s="799" t="s">
        <v>50</v>
      </c>
      <c r="G471" s="800" t="s">
        <v>44</v>
      </c>
      <c r="H471" s="800" t="s">
        <v>38</v>
      </c>
      <c r="I471" s="801" t="s">
        <v>43</v>
      </c>
      <c r="J471" s="55"/>
      <c r="K471" s="69">
        <f t="shared" si="181"/>
        <v>910.6</v>
      </c>
      <c r="L471" s="69">
        <f t="shared" si="181"/>
        <v>0</v>
      </c>
      <c r="M471" s="69">
        <f t="shared" si="181"/>
        <v>910.6</v>
      </c>
      <c r="N471" s="69">
        <f t="shared" si="181"/>
        <v>910.6</v>
      </c>
    </row>
    <row r="472" spans="1:14" s="163" customFormat="1" ht="54" x14ac:dyDescent="0.35">
      <c r="A472" s="56"/>
      <c r="B472" s="610" t="s">
        <v>216</v>
      </c>
      <c r="C472" s="68" t="s">
        <v>304</v>
      </c>
      <c r="D472" s="55" t="s">
        <v>65</v>
      </c>
      <c r="E472" s="55" t="s">
        <v>38</v>
      </c>
      <c r="F472" s="799" t="s">
        <v>50</v>
      </c>
      <c r="G472" s="800" t="s">
        <v>44</v>
      </c>
      <c r="H472" s="800" t="s">
        <v>38</v>
      </c>
      <c r="I472" s="801" t="s">
        <v>306</v>
      </c>
      <c r="J472" s="55"/>
      <c r="K472" s="69">
        <f t="shared" si="181"/>
        <v>910.6</v>
      </c>
      <c r="L472" s="69">
        <f t="shared" si="181"/>
        <v>0</v>
      </c>
      <c r="M472" s="69">
        <f t="shared" si="181"/>
        <v>910.6</v>
      </c>
      <c r="N472" s="69">
        <f t="shared" si="181"/>
        <v>910.6</v>
      </c>
    </row>
    <row r="473" spans="1:14" s="163" customFormat="1" ht="54" x14ac:dyDescent="0.35">
      <c r="A473" s="56"/>
      <c r="B473" s="610" t="s">
        <v>53</v>
      </c>
      <c r="C473" s="68" t="s">
        <v>304</v>
      </c>
      <c r="D473" s="55" t="s">
        <v>65</v>
      </c>
      <c r="E473" s="55" t="s">
        <v>38</v>
      </c>
      <c r="F473" s="799" t="s">
        <v>50</v>
      </c>
      <c r="G473" s="800" t="s">
        <v>44</v>
      </c>
      <c r="H473" s="800" t="s">
        <v>38</v>
      </c>
      <c r="I473" s="801" t="s">
        <v>306</v>
      </c>
      <c r="J473" s="55" t="s">
        <v>54</v>
      </c>
      <c r="K473" s="69">
        <v>910.6</v>
      </c>
      <c r="L473" s="69">
        <f>M473-K473</f>
        <v>0</v>
      </c>
      <c r="M473" s="69">
        <v>910.6</v>
      </c>
      <c r="N473" s="600">
        <v>910.6</v>
      </c>
    </row>
    <row r="474" spans="1:14" s="163" customFormat="1" ht="18" x14ac:dyDescent="0.35">
      <c r="A474" s="56"/>
      <c r="B474" s="610" t="s">
        <v>611</v>
      </c>
      <c r="C474" s="68" t="s">
        <v>304</v>
      </c>
      <c r="D474" s="55" t="s">
        <v>65</v>
      </c>
      <c r="E474" s="55" t="s">
        <v>61</v>
      </c>
      <c r="F474" s="799"/>
      <c r="G474" s="800"/>
      <c r="H474" s="800"/>
      <c r="I474" s="801"/>
      <c r="J474" s="55"/>
      <c r="K474" s="69">
        <f>K475</f>
        <v>38346.300000000003</v>
      </c>
      <c r="L474" s="69">
        <f t="shared" ref="L474" si="182">L475</f>
        <v>0</v>
      </c>
      <c r="M474" s="69">
        <f>M475</f>
        <v>38346.300000000003</v>
      </c>
      <c r="N474" s="69">
        <f>N475</f>
        <v>37455</v>
      </c>
    </row>
    <row r="475" spans="1:14" s="163" customFormat="1" ht="54" x14ac:dyDescent="0.35">
      <c r="A475" s="56"/>
      <c r="B475" s="610" t="s">
        <v>214</v>
      </c>
      <c r="C475" s="68" t="s">
        <v>304</v>
      </c>
      <c r="D475" s="55" t="s">
        <v>65</v>
      </c>
      <c r="E475" s="55" t="s">
        <v>61</v>
      </c>
      <c r="F475" s="799" t="s">
        <v>50</v>
      </c>
      <c r="G475" s="800" t="s">
        <v>41</v>
      </c>
      <c r="H475" s="800" t="s">
        <v>42</v>
      </c>
      <c r="I475" s="801" t="s">
        <v>43</v>
      </c>
      <c r="J475" s="55"/>
      <c r="K475" s="69">
        <f>K476+K480</f>
        <v>38346.300000000003</v>
      </c>
      <c r="L475" s="69">
        <f t="shared" ref="L475" si="183">L476+L480</f>
        <v>0</v>
      </c>
      <c r="M475" s="69">
        <f>M476+M480</f>
        <v>38346.300000000003</v>
      </c>
      <c r="N475" s="69">
        <f>N476+N480</f>
        <v>37455</v>
      </c>
    </row>
    <row r="476" spans="1:14" s="163" customFormat="1" ht="36" x14ac:dyDescent="0.35">
      <c r="A476" s="56"/>
      <c r="B476" s="659" t="s">
        <v>215</v>
      </c>
      <c r="C476" s="68" t="s">
        <v>304</v>
      </c>
      <c r="D476" s="55" t="s">
        <v>65</v>
      </c>
      <c r="E476" s="55" t="s">
        <v>61</v>
      </c>
      <c r="F476" s="799" t="s">
        <v>50</v>
      </c>
      <c r="G476" s="800" t="s">
        <v>44</v>
      </c>
      <c r="H476" s="800" t="s">
        <v>42</v>
      </c>
      <c r="I476" s="801" t="s">
        <v>43</v>
      </c>
      <c r="J476" s="55"/>
      <c r="K476" s="69">
        <f>K477</f>
        <v>450</v>
      </c>
      <c r="L476" s="69">
        <f t="shared" ref="L476" si="184">L477</f>
        <v>0</v>
      </c>
      <c r="M476" s="69">
        <f>M477</f>
        <v>450</v>
      </c>
      <c r="N476" s="69">
        <f>N477</f>
        <v>450</v>
      </c>
    </row>
    <row r="477" spans="1:14" s="163" customFormat="1" ht="18" x14ac:dyDescent="0.35">
      <c r="A477" s="56"/>
      <c r="B477" s="610" t="s">
        <v>291</v>
      </c>
      <c r="C477" s="68" t="s">
        <v>304</v>
      </c>
      <c r="D477" s="55" t="s">
        <v>65</v>
      </c>
      <c r="E477" s="55" t="s">
        <v>61</v>
      </c>
      <c r="F477" s="799" t="s">
        <v>50</v>
      </c>
      <c r="G477" s="800" t="s">
        <v>44</v>
      </c>
      <c r="H477" s="800" t="s">
        <v>36</v>
      </c>
      <c r="I477" s="801" t="s">
        <v>43</v>
      </c>
      <c r="J477" s="55"/>
      <c r="K477" s="69">
        <f t="shared" ref="K477:N478" si="185">K478</f>
        <v>450</v>
      </c>
      <c r="L477" s="69">
        <f t="shared" si="185"/>
        <v>0</v>
      </c>
      <c r="M477" s="69">
        <f t="shared" si="185"/>
        <v>450</v>
      </c>
      <c r="N477" s="69">
        <f t="shared" si="185"/>
        <v>450</v>
      </c>
    </row>
    <row r="478" spans="1:14" s="163" customFormat="1" ht="36" x14ac:dyDescent="0.35">
      <c r="A478" s="56"/>
      <c r="B478" s="610" t="s">
        <v>292</v>
      </c>
      <c r="C478" s="68" t="s">
        <v>304</v>
      </c>
      <c r="D478" s="55" t="s">
        <v>65</v>
      </c>
      <c r="E478" s="55" t="s">
        <v>61</v>
      </c>
      <c r="F478" s="799" t="s">
        <v>50</v>
      </c>
      <c r="G478" s="800" t="s">
        <v>44</v>
      </c>
      <c r="H478" s="800" t="s">
        <v>36</v>
      </c>
      <c r="I478" s="801" t="s">
        <v>293</v>
      </c>
      <c r="J478" s="55"/>
      <c r="K478" s="69">
        <f t="shared" si="185"/>
        <v>450</v>
      </c>
      <c r="L478" s="69">
        <f t="shared" si="185"/>
        <v>0</v>
      </c>
      <c r="M478" s="69">
        <f t="shared" si="185"/>
        <v>450</v>
      </c>
      <c r="N478" s="69">
        <f t="shared" si="185"/>
        <v>450</v>
      </c>
    </row>
    <row r="479" spans="1:14" s="163" customFormat="1" ht="36" x14ac:dyDescent="0.35">
      <c r="A479" s="56"/>
      <c r="B479" s="610" t="s">
        <v>118</v>
      </c>
      <c r="C479" s="68" t="s">
        <v>304</v>
      </c>
      <c r="D479" s="55" t="s">
        <v>65</v>
      </c>
      <c r="E479" s="55" t="s">
        <v>61</v>
      </c>
      <c r="F479" s="799" t="s">
        <v>50</v>
      </c>
      <c r="G479" s="800" t="s">
        <v>44</v>
      </c>
      <c r="H479" s="800" t="s">
        <v>36</v>
      </c>
      <c r="I479" s="801" t="s">
        <v>293</v>
      </c>
      <c r="J479" s="55" t="s">
        <v>119</v>
      </c>
      <c r="K479" s="69">
        <v>450</v>
      </c>
      <c r="L479" s="69">
        <f>M479-K479</f>
        <v>0</v>
      </c>
      <c r="M479" s="69">
        <v>450</v>
      </c>
      <c r="N479" s="69">
        <v>450</v>
      </c>
    </row>
    <row r="480" spans="1:14" s="163" customFormat="1" ht="36" x14ac:dyDescent="0.35">
      <c r="A480" s="56"/>
      <c r="B480" s="610" t="s">
        <v>217</v>
      </c>
      <c r="C480" s="68" t="s">
        <v>304</v>
      </c>
      <c r="D480" s="55" t="s">
        <v>65</v>
      </c>
      <c r="E480" s="55" t="s">
        <v>61</v>
      </c>
      <c r="F480" s="799" t="s">
        <v>50</v>
      </c>
      <c r="G480" s="800" t="s">
        <v>87</v>
      </c>
      <c r="H480" s="800" t="s">
        <v>42</v>
      </c>
      <c r="I480" s="801" t="s">
        <v>43</v>
      </c>
      <c r="J480" s="55"/>
      <c r="K480" s="69">
        <f t="shared" ref="K480:N480" si="186">K481</f>
        <v>37896.300000000003</v>
      </c>
      <c r="L480" s="69">
        <f t="shared" si="186"/>
        <v>0</v>
      </c>
      <c r="M480" s="69">
        <f t="shared" si="186"/>
        <v>37896.300000000003</v>
      </c>
      <c r="N480" s="69">
        <f t="shared" si="186"/>
        <v>37005</v>
      </c>
    </row>
    <row r="481" spans="1:14" s="163" customFormat="1" ht="18" x14ac:dyDescent="0.35">
      <c r="A481" s="56"/>
      <c r="B481" s="610" t="s">
        <v>381</v>
      </c>
      <c r="C481" s="68" t="s">
        <v>304</v>
      </c>
      <c r="D481" s="55" t="s">
        <v>65</v>
      </c>
      <c r="E481" s="55" t="s">
        <v>61</v>
      </c>
      <c r="F481" s="799" t="s">
        <v>50</v>
      </c>
      <c r="G481" s="800" t="s">
        <v>87</v>
      </c>
      <c r="H481" s="800" t="s">
        <v>38</v>
      </c>
      <c r="I481" s="801" t="s">
        <v>43</v>
      </c>
      <c r="J481" s="55"/>
      <c r="K481" s="69">
        <f>K482+K488+K486+K490</f>
        <v>37896.300000000003</v>
      </c>
      <c r="L481" s="69">
        <f t="shared" ref="L481" si="187">L482+L488+L486+L490</f>
        <v>0</v>
      </c>
      <c r="M481" s="69">
        <f>M482+M488+M486+M490</f>
        <v>37896.300000000003</v>
      </c>
      <c r="N481" s="69">
        <f>N482+N488+N486+N490</f>
        <v>37005</v>
      </c>
    </row>
    <row r="482" spans="1:14" s="163" customFormat="1" ht="36" x14ac:dyDescent="0.35">
      <c r="A482" s="56"/>
      <c r="B482" s="686" t="s">
        <v>484</v>
      </c>
      <c r="C482" s="68" t="s">
        <v>304</v>
      </c>
      <c r="D482" s="55" t="s">
        <v>65</v>
      </c>
      <c r="E482" s="55" t="s">
        <v>61</v>
      </c>
      <c r="F482" s="799" t="s">
        <v>50</v>
      </c>
      <c r="G482" s="800" t="s">
        <v>87</v>
      </c>
      <c r="H482" s="800" t="s">
        <v>38</v>
      </c>
      <c r="I482" s="801" t="s">
        <v>89</v>
      </c>
      <c r="J482" s="55"/>
      <c r="K482" s="69">
        <f>K483+K484+K485</f>
        <v>31291.600000000002</v>
      </c>
      <c r="L482" s="69">
        <f t="shared" ref="L482" si="188">L483+L484+L485</f>
        <v>0</v>
      </c>
      <c r="M482" s="69">
        <f>M483+M484+M485</f>
        <v>31291.600000000002</v>
      </c>
      <c r="N482" s="69">
        <f>N483+N484+N485</f>
        <v>31402.400000000001</v>
      </c>
    </row>
    <row r="483" spans="1:14" s="163" customFormat="1" ht="108" x14ac:dyDescent="0.35">
      <c r="A483" s="56"/>
      <c r="B483" s="610" t="s">
        <v>48</v>
      </c>
      <c r="C483" s="68" t="s">
        <v>304</v>
      </c>
      <c r="D483" s="55" t="s">
        <v>65</v>
      </c>
      <c r="E483" s="55" t="s">
        <v>61</v>
      </c>
      <c r="F483" s="799" t="s">
        <v>50</v>
      </c>
      <c r="G483" s="800" t="s">
        <v>87</v>
      </c>
      <c r="H483" s="800" t="s">
        <v>38</v>
      </c>
      <c r="I483" s="801" t="s">
        <v>89</v>
      </c>
      <c r="J483" s="55" t="s">
        <v>49</v>
      </c>
      <c r="K483" s="69">
        <v>25492.400000000001</v>
      </c>
      <c r="L483" s="69">
        <f>M483-K483</f>
        <v>0</v>
      </c>
      <c r="M483" s="69">
        <v>25492.400000000001</v>
      </c>
      <c r="N483" s="69">
        <v>25492.400000000001</v>
      </c>
    </row>
    <row r="484" spans="1:14" s="163" customFormat="1" ht="54" x14ac:dyDescent="0.35">
      <c r="A484" s="56"/>
      <c r="B484" s="610" t="s">
        <v>53</v>
      </c>
      <c r="C484" s="68" t="s">
        <v>304</v>
      </c>
      <c r="D484" s="55" t="s">
        <v>65</v>
      </c>
      <c r="E484" s="55" t="s">
        <v>61</v>
      </c>
      <c r="F484" s="799" t="s">
        <v>50</v>
      </c>
      <c r="G484" s="800" t="s">
        <v>87</v>
      </c>
      <c r="H484" s="800" t="s">
        <v>38</v>
      </c>
      <c r="I484" s="801" t="s">
        <v>89</v>
      </c>
      <c r="J484" s="55" t="s">
        <v>54</v>
      </c>
      <c r="K484" s="69">
        <f>5156.3-39.1</f>
        <v>5117.2</v>
      </c>
      <c r="L484" s="69">
        <f>M484-K484</f>
        <v>0</v>
      </c>
      <c r="M484" s="69">
        <f>5156.3-39.1</f>
        <v>5117.2</v>
      </c>
      <c r="N484" s="69">
        <f>5253.5-23.5</f>
        <v>5230</v>
      </c>
    </row>
    <row r="485" spans="1:14" s="163" customFormat="1" ht="18" x14ac:dyDescent="0.35">
      <c r="A485" s="56"/>
      <c r="B485" s="610" t="s">
        <v>55</v>
      </c>
      <c r="C485" s="68" t="s">
        <v>304</v>
      </c>
      <c r="D485" s="55" t="s">
        <v>65</v>
      </c>
      <c r="E485" s="55" t="s">
        <v>61</v>
      </c>
      <c r="F485" s="799" t="s">
        <v>50</v>
      </c>
      <c r="G485" s="800" t="s">
        <v>87</v>
      </c>
      <c r="H485" s="800" t="s">
        <v>38</v>
      </c>
      <c r="I485" s="801" t="s">
        <v>89</v>
      </c>
      <c r="J485" s="55" t="s">
        <v>56</v>
      </c>
      <c r="K485" s="69">
        <v>682</v>
      </c>
      <c r="L485" s="69">
        <f>M485-K485</f>
        <v>0</v>
      </c>
      <c r="M485" s="69">
        <v>682</v>
      </c>
      <c r="N485" s="69">
        <v>680</v>
      </c>
    </row>
    <row r="486" spans="1:14" s="163" customFormat="1" ht="54" x14ac:dyDescent="0.35">
      <c r="A486" s="56"/>
      <c r="B486" s="610" t="s">
        <v>216</v>
      </c>
      <c r="C486" s="68" t="s">
        <v>304</v>
      </c>
      <c r="D486" s="55" t="s">
        <v>65</v>
      </c>
      <c r="E486" s="55" t="s">
        <v>61</v>
      </c>
      <c r="F486" s="799" t="s">
        <v>50</v>
      </c>
      <c r="G486" s="800" t="s">
        <v>87</v>
      </c>
      <c r="H486" s="800" t="s">
        <v>38</v>
      </c>
      <c r="I486" s="801" t="s">
        <v>306</v>
      </c>
      <c r="J486" s="55"/>
      <c r="K486" s="69">
        <f>K487</f>
        <v>4005.5</v>
      </c>
      <c r="L486" s="69">
        <f t="shared" ref="L486" si="189">L487</f>
        <v>0</v>
      </c>
      <c r="M486" s="69">
        <f>M487</f>
        <v>4005.5</v>
      </c>
      <c r="N486" s="69">
        <f>N487</f>
        <v>4005.5</v>
      </c>
    </row>
    <row r="487" spans="1:14" s="163" customFormat="1" ht="54" x14ac:dyDescent="0.35">
      <c r="A487" s="56"/>
      <c r="B487" s="610" t="s">
        <v>53</v>
      </c>
      <c r="C487" s="68" t="s">
        <v>304</v>
      </c>
      <c r="D487" s="55" t="s">
        <v>65</v>
      </c>
      <c r="E487" s="55" t="s">
        <v>61</v>
      </c>
      <c r="F487" s="799" t="s">
        <v>50</v>
      </c>
      <c r="G487" s="800" t="s">
        <v>87</v>
      </c>
      <c r="H487" s="800" t="s">
        <v>38</v>
      </c>
      <c r="I487" s="801" t="s">
        <v>306</v>
      </c>
      <c r="J487" s="55" t="s">
        <v>54</v>
      </c>
      <c r="K487" s="69">
        <v>4005.5</v>
      </c>
      <c r="L487" s="69">
        <f>M487-K487</f>
        <v>0</v>
      </c>
      <c r="M487" s="69">
        <v>4005.5</v>
      </c>
      <c r="N487" s="69">
        <v>4005.5</v>
      </c>
    </row>
    <row r="488" spans="1:14" s="163" customFormat="1" ht="180" x14ac:dyDescent="0.35">
      <c r="A488" s="56"/>
      <c r="B488" s="610" t="s">
        <v>455</v>
      </c>
      <c r="C488" s="68" t="s">
        <v>304</v>
      </c>
      <c r="D488" s="55" t="s">
        <v>65</v>
      </c>
      <c r="E488" s="55" t="s">
        <v>61</v>
      </c>
      <c r="F488" s="799" t="s">
        <v>50</v>
      </c>
      <c r="G488" s="800" t="s">
        <v>87</v>
      </c>
      <c r="H488" s="800" t="s">
        <v>38</v>
      </c>
      <c r="I488" s="801" t="s">
        <v>411</v>
      </c>
      <c r="J488" s="55"/>
      <c r="K488" s="69">
        <f>K489</f>
        <v>93.8</v>
      </c>
      <c r="L488" s="69">
        <f t="shared" ref="L488" si="190">L489</f>
        <v>0</v>
      </c>
      <c r="M488" s="69">
        <f>M489</f>
        <v>93.8</v>
      </c>
      <c r="N488" s="69">
        <f>N489</f>
        <v>93.8</v>
      </c>
    </row>
    <row r="489" spans="1:14" s="163" customFormat="1" ht="108" x14ac:dyDescent="0.35">
      <c r="A489" s="56"/>
      <c r="B489" s="610" t="s">
        <v>48</v>
      </c>
      <c r="C489" s="68" t="s">
        <v>304</v>
      </c>
      <c r="D489" s="55" t="s">
        <v>65</v>
      </c>
      <c r="E489" s="55" t="s">
        <v>61</v>
      </c>
      <c r="F489" s="799" t="s">
        <v>50</v>
      </c>
      <c r="G489" s="800" t="s">
        <v>87</v>
      </c>
      <c r="H489" s="800" t="s">
        <v>38</v>
      </c>
      <c r="I489" s="801" t="s">
        <v>411</v>
      </c>
      <c r="J489" s="55" t="s">
        <v>49</v>
      </c>
      <c r="K489" s="69">
        <v>93.8</v>
      </c>
      <c r="L489" s="69">
        <f>M489-K489</f>
        <v>0</v>
      </c>
      <c r="M489" s="69">
        <v>93.8</v>
      </c>
      <c r="N489" s="311">
        <v>93.8</v>
      </c>
    </row>
    <row r="490" spans="1:14" s="163" customFormat="1" ht="54" x14ac:dyDescent="0.35">
      <c r="A490" s="56"/>
      <c r="B490" s="610" t="s">
        <v>459</v>
      </c>
      <c r="C490" s="68" t="s">
        <v>304</v>
      </c>
      <c r="D490" s="55" t="s">
        <v>65</v>
      </c>
      <c r="E490" s="55" t="s">
        <v>61</v>
      </c>
      <c r="F490" s="799" t="s">
        <v>50</v>
      </c>
      <c r="G490" s="800" t="s">
        <v>87</v>
      </c>
      <c r="H490" s="800" t="s">
        <v>38</v>
      </c>
      <c r="I490" s="801" t="s">
        <v>431</v>
      </c>
      <c r="J490" s="55"/>
      <c r="K490" s="69">
        <f>K491</f>
        <v>2505.4</v>
      </c>
      <c r="L490" s="69">
        <f t="shared" ref="L490" si="191">L491</f>
        <v>0</v>
      </c>
      <c r="M490" s="69">
        <f>M491</f>
        <v>2505.4</v>
      </c>
      <c r="N490" s="69">
        <f>N491</f>
        <v>1503.3000000000002</v>
      </c>
    </row>
    <row r="491" spans="1:14" s="163" customFormat="1" ht="108" x14ac:dyDescent="0.35">
      <c r="A491" s="56"/>
      <c r="B491" s="610" t="s">
        <v>48</v>
      </c>
      <c r="C491" s="68" t="s">
        <v>304</v>
      </c>
      <c r="D491" s="55" t="s">
        <v>65</v>
      </c>
      <c r="E491" s="55" t="s">
        <v>61</v>
      </c>
      <c r="F491" s="799" t="s">
        <v>50</v>
      </c>
      <c r="G491" s="800" t="s">
        <v>87</v>
      </c>
      <c r="H491" s="800" t="s">
        <v>38</v>
      </c>
      <c r="I491" s="801" t="s">
        <v>431</v>
      </c>
      <c r="J491" s="55" t="s">
        <v>49</v>
      </c>
      <c r="K491" s="69">
        <f>2114.8+351.5+39.1</f>
        <v>2505.4</v>
      </c>
      <c r="L491" s="69">
        <f>M491-K491</f>
        <v>0</v>
      </c>
      <c r="M491" s="69">
        <f>2114.8+351.5+39.1</f>
        <v>2505.4</v>
      </c>
      <c r="N491" s="311">
        <f>1268.9+210.9+23.5</f>
        <v>1503.3000000000002</v>
      </c>
    </row>
    <row r="492" spans="1:14" s="52" customFormat="1" ht="36" x14ac:dyDescent="0.35">
      <c r="A492" s="56"/>
      <c r="B492" s="659" t="s">
        <v>197</v>
      </c>
      <c r="C492" s="68" t="s">
        <v>304</v>
      </c>
      <c r="D492" s="55" t="s">
        <v>65</v>
      </c>
      <c r="E492" s="55" t="s">
        <v>63</v>
      </c>
      <c r="F492" s="799"/>
      <c r="G492" s="800"/>
      <c r="H492" s="800"/>
      <c r="I492" s="801"/>
      <c r="J492" s="55"/>
      <c r="K492" s="69">
        <f t="shared" ref="K492:N495" si="192">K493</f>
        <v>3179.7999999999997</v>
      </c>
      <c r="L492" s="69">
        <f t="shared" si="192"/>
        <v>0</v>
      </c>
      <c r="M492" s="69">
        <f t="shared" si="192"/>
        <v>3179.7999999999997</v>
      </c>
      <c r="N492" s="69">
        <f t="shared" si="192"/>
        <v>3180.9</v>
      </c>
    </row>
    <row r="493" spans="1:14" s="52" customFormat="1" ht="54" x14ac:dyDescent="0.35">
      <c r="A493" s="56"/>
      <c r="B493" s="610" t="s">
        <v>214</v>
      </c>
      <c r="C493" s="68" t="s">
        <v>304</v>
      </c>
      <c r="D493" s="55" t="s">
        <v>65</v>
      </c>
      <c r="E493" s="55" t="s">
        <v>63</v>
      </c>
      <c r="F493" s="799" t="s">
        <v>50</v>
      </c>
      <c r="G493" s="800" t="s">
        <v>41</v>
      </c>
      <c r="H493" s="800" t="s">
        <v>42</v>
      </c>
      <c r="I493" s="801" t="s">
        <v>43</v>
      </c>
      <c r="J493" s="55"/>
      <c r="K493" s="69">
        <f t="shared" si="192"/>
        <v>3179.7999999999997</v>
      </c>
      <c r="L493" s="69">
        <f t="shared" si="192"/>
        <v>0</v>
      </c>
      <c r="M493" s="69">
        <f t="shared" si="192"/>
        <v>3179.7999999999997</v>
      </c>
      <c r="N493" s="69">
        <f t="shared" si="192"/>
        <v>3180.9</v>
      </c>
    </row>
    <row r="494" spans="1:14" s="52" customFormat="1" ht="36" x14ac:dyDescent="0.35">
      <c r="A494" s="56"/>
      <c r="B494" s="617" t="s">
        <v>217</v>
      </c>
      <c r="C494" s="68" t="s">
        <v>304</v>
      </c>
      <c r="D494" s="55" t="s">
        <v>65</v>
      </c>
      <c r="E494" s="55" t="s">
        <v>63</v>
      </c>
      <c r="F494" s="799" t="s">
        <v>50</v>
      </c>
      <c r="G494" s="800" t="s">
        <v>87</v>
      </c>
      <c r="H494" s="800" t="s">
        <v>42</v>
      </c>
      <c r="I494" s="801" t="s">
        <v>43</v>
      </c>
      <c r="J494" s="55"/>
      <c r="K494" s="69">
        <f t="shared" si="192"/>
        <v>3179.7999999999997</v>
      </c>
      <c r="L494" s="69">
        <f t="shared" si="192"/>
        <v>0</v>
      </c>
      <c r="M494" s="69">
        <f t="shared" si="192"/>
        <v>3179.7999999999997</v>
      </c>
      <c r="N494" s="69">
        <f t="shared" si="192"/>
        <v>3180.9</v>
      </c>
    </row>
    <row r="495" spans="1:14" s="52" customFormat="1" ht="36" x14ac:dyDescent="0.35">
      <c r="A495" s="56"/>
      <c r="B495" s="610" t="s">
        <v>296</v>
      </c>
      <c r="C495" s="68" t="s">
        <v>304</v>
      </c>
      <c r="D495" s="55" t="s">
        <v>65</v>
      </c>
      <c r="E495" s="55" t="s">
        <v>63</v>
      </c>
      <c r="F495" s="799" t="s">
        <v>50</v>
      </c>
      <c r="G495" s="800" t="s">
        <v>87</v>
      </c>
      <c r="H495" s="800" t="s">
        <v>36</v>
      </c>
      <c r="I495" s="801" t="s">
        <v>43</v>
      </c>
      <c r="J495" s="55"/>
      <c r="K495" s="69">
        <f t="shared" si="192"/>
        <v>3179.7999999999997</v>
      </c>
      <c r="L495" s="69">
        <f t="shared" si="192"/>
        <v>0</v>
      </c>
      <c r="M495" s="69">
        <f t="shared" si="192"/>
        <v>3179.7999999999997</v>
      </c>
      <c r="N495" s="69">
        <f t="shared" si="192"/>
        <v>3180.9</v>
      </c>
    </row>
    <row r="496" spans="1:14" s="52" customFormat="1" ht="36" x14ac:dyDescent="0.35">
      <c r="A496" s="56"/>
      <c r="B496" s="610" t="s">
        <v>46</v>
      </c>
      <c r="C496" s="68" t="s">
        <v>304</v>
      </c>
      <c r="D496" s="55" t="s">
        <v>65</v>
      </c>
      <c r="E496" s="55" t="s">
        <v>63</v>
      </c>
      <c r="F496" s="799" t="s">
        <v>50</v>
      </c>
      <c r="G496" s="800" t="s">
        <v>87</v>
      </c>
      <c r="H496" s="800" t="s">
        <v>36</v>
      </c>
      <c r="I496" s="801" t="s">
        <v>47</v>
      </c>
      <c r="J496" s="55"/>
      <c r="K496" s="69">
        <f>K497+K498+K499</f>
        <v>3179.7999999999997</v>
      </c>
      <c r="L496" s="69">
        <f t="shared" ref="L496" si="193">L497+L498+L499</f>
        <v>0</v>
      </c>
      <c r="M496" s="69">
        <f>M497+M498+M499</f>
        <v>3179.7999999999997</v>
      </c>
      <c r="N496" s="69">
        <f>N497+N498+N499</f>
        <v>3180.9</v>
      </c>
    </row>
    <row r="497" spans="1:14" s="52" customFormat="1" ht="108" x14ac:dyDescent="0.35">
      <c r="A497" s="56"/>
      <c r="B497" s="610" t="s">
        <v>48</v>
      </c>
      <c r="C497" s="68" t="s">
        <v>304</v>
      </c>
      <c r="D497" s="55" t="s">
        <v>65</v>
      </c>
      <c r="E497" s="55" t="s">
        <v>63</v>
      </c>
      <c r="F497" s="799" t="s">
        <v>50</v>
      </c>
      <c r="G497" s="800" t="s">
        <v>87</v>
      </c>
      <c r="H497" s="800" t="s">
        <v>36</v>
      </c>
      <c r="I497" s="801" t="s">
        <v>47</v>
      </c>
      <c r="J497" s="55" t="s">
        <v>49</v>
      </c>
      <c r="K497" s="69">
        <v>3117.5</v>
      </c>
      <c r="L497" s="69">
        <f>M497-K497</f>
        <v>0</v>
      </c>
      <c r="M497" s="69">
        <v>3117.5</v>
      </c>
      <c r="N497" s="69">
        <v>3117.5</v>
      </c>
    </row>
    <row r="498" spans="1:14" s="52" customFormat="1" ht="54" x14ac:dyDescent="0.35">
      <c r="A498" s="56"/>
      <c r="B498" s="610" t="s">
        <v>53</v>
      </c>
      <c r="C498" s="68" t="s">
        <v>304</v>
      </c>
      <c r="D498" s="55" t="s">
        <v>65</v>
      </c>
      <c r="E498" s="55" t="s">
        <v>63</v>
      </c>
      <c r="F498" s="799" t="s">
        <v>50</v>
      </c>
      <c r="G498" s="800" t="s">
        <v>87</v>
      </c>
      <c r="H498" s="800" t="s">
        <v>36</v>
      </c>
      <c r="I498" s="801" t="s">
        <v>47</v>
      </c>
      <c r="J498" s="55" t="s">
        <v>54</v>
      </c>
      <c r="K498" s="69">
        <v>60.6</v>
      </c>
      <c r="L498" s="69">
        <f>M498-K498</f>
        <v>0</v>
      </c>
      <c r="M498" s="69">
        <v>60.6</v>
      </c>
      <c r="N498" s="69">
        <v>61.8</v>
      </c>
    </row>
    <row r="499" spans="1:14" s="52" customFormat="1" ht="18" x14ac:dyDescent="0.35">
      <c r="A499" s="56"/>
      <c r="B499" s="610" t="s">
        <v>55</v>
      </c>
      <c r="C499" s="68" t="s">
        <v>304</v>
      </c>
      <c r="D499" s="55" t="s">
        <v>65</v>
      </c>
      <c r="E499" s="55" t="s">
        <v>63</v>
      </c>
      <c r="F499" s="799" t="s">
        <v>50</v>
      </c>
      <c r="G499" s="800" t="s">
        <v>87</v>
      </c>
      <c r="H499" s="800" t="s">
        <v>36</v>
      </c>
      <c r="I499" s="801" t="s">
        <v>47</v>
      </c>
      <c r="J499" s="55" t="s">
        <v>56</v>
      </c>
      <c r="K499" s="69">
        <v>1.7</v>
      </c>
      <c r="L499" s="69">
        <f>M499-K499</f>
        <v>0</v>
      </c>
      <c r="M499" s="69">
        <v>1.7</v>
      </c>
      <c r="N499" s="69">
        <v>1.6</v>
      </c>
    </row>
    <row r="500" spans="1:14" s="52" customFormat="1" ht="18" x14ac:dyDescent="0.35">
      <c r="A500" s="56"/>
      <c r="B500" s="610"/>
      <c r="C500" s="68"/>
      <c r="D500" s="55"/>
      <c r="E500" s="55"/>
      <c r="F500" s="799"/>
      <c r="G500" s="800"/>
      <c r="H500" s="800"/>
      <c r="I500" s="801"/>
      <c r="J500" s="55"/>
      <c r="K500" s="69"/>
      <c r="L500" s="69"/>
      <c r="M500" s="69"/>
      <c r="N500" s="69"/>
    </row>
    <row r="501" spans="1:14" s="163" customFormat="1" ht="52.2" x14ac:dyDescent="0.3">
      <c r="A501" s="162">
        <v>8</v>
      </c>
      <c r="B501" s="656" t="s">
        <v>11</v>
      </c>
      <c r="C501" s="63" t="s">
        <v>300</v>
      </c>
      <c r="D501" s="64"/>
      <c r="E501" s="64"/>
      <c r="F501" s="65"/>
      <c r="G501" s="66"/>
      <c r="H501" s="66"/>
      <c r="I501" s="67"/>
      <c r="J501" s="64"/>
      <c r="K501" s="77">
        <f>K515+K502</f>
        <v>8467.2000000000007</v>
      </c>
      <c r="L501" s="77">
        <f t="shared" ref="L501" si="194">L515+L502</f>
        <v>0</v>
      </c>
      <c r="M501" s="77">
        <f>M515+M502</f>
        <v>8467.2000000000007</v>
      </c>
      <c r="N501" s="77">
        <f>N515+N502</f>
        <v>8473.2000000000007</v>
      </c>
    </row>
    <row r="502" spans="1:14" s="163" customFormat="1" ht="18" x14ac:dyDescent="0.35">
      <c r="A502" s="162"/>
      <c r="B502" s="610" t="s">
        <v>35</v>
      </c>
      <c r="C502" s="68" t="s">
        <v>300</v>
      </c>
      <c r="D502" s="55" t="s">
        <v>36</v>
      </c>
      <c r="E502" s="55"/>
      <c r="F502" s="799"/>
      <c r="G502" s="800"/>
      <c r="H502" s="800"/>
      <c r="I502" s="801"/>
      <c r="J502" s="55"/>
      <c r="K502" s="261">
        <f t="shared" ref="K502:N504" si="195">K503</f>
        <v>149.19999999999999</v>
      </c>
      <c r="L502" s="261">
        <f t="shared" si="195"/>
        <v>0</v>
      </c>
      <c r="M502" s="261">
        <f t="shared" si="195"/>
        <v>149.19999999999999</v>
      </c>
      <c r="N502" s="261">
        <f t="shared" si="195"/>
        <v>149.19999999999999</v>
      </c>
    </row>
    <row r="503" spans="1:14" s="163" customFormat="1" ht="18" x14ac:dyDescent="0.35">
      <c r="A503" s="162"/>
      <c r="B503" s="610" t="s">
        <v>68</v>
      </c>
      <c r="C503" s="68" t="s">
        <v>300</v>
      </c>
      <c r="D503" s="55" t="s">
        <v>36</v>
      </c>
      <c r="E503" s="55" t="s">
        <v>69</v>
      </c>
      <c r="F503" s="799"/>
      <c r="G503" s="800"/>
      <c r="H503" s="800"/>
      <c r="I503" s="801"/>
      <c r="J503" s="55"/>
      <c r="K503" s="261">
        <f t="shared" si="195"/>
        <v>149.19999999999999</v>
      </c>
      <c r="L503" s="261">
        <f t="shared" si="195"/>
        <v>0</v>
      </c>
      <c r="M503" s="261">
        <f t="shared" si="195"/>
        <v>149.19999999999999</v>
      </c>
      <c r="N503" s="261">
        <f t="shared" si="195"/>
        <v>149.19999999999999</v>
      </c>
    </row>
    <row r="504" spans="1:14" s="163" customFormat="1" ht="54" x14ac:dyDescent="0.35">
      <c r="A504" s="162"/>
      <c r="B504" s="610" t="s">
        <v>218</v>
      </c>
      <c r="C504" s="68" t="s">
        <v>300</v>
      </c>
      <c r="D504" s="55" t="s">
        <v>36</v>
      </c>
      <c r="E504" s="55" t="s">
        <v>69</v>
      </c>
      <c r="F504" s="799" t="s">
        <v>63</v>
      </c>
      <c r="G504" s="800" t="s">
        <v>41</v>
      </c>
      <c r="H504" s="800" t="s">
        <v>42</v>
      </c>
      <c r="I504" s="801" t="s">
        <v>43</v>
      </c>
      <c r="J504" s="55"/>
      <c r="K504" s="261">
        <f t="shared" si="195"/>
        <v>149.19999999999999</v>
      </c>
      <c r="L504" s="261">
        <f t="shared" si="195"/>
        <v>0</v>
      </c>
      <c r="M504" s="261">
        <f t="shared" si="195"/>
        <v>149.19999999999999</v>
      </c>
      <c r="N504" s="261">
        <f t="shared" si="195"/>
        <v>149.19999999999999</v>
      </c>
    </row>
    <row r="505" spans="1:14" s="163" customFormat="1" ht="36" x14ac:dyDescent="0.35">
      <c r="A505" s="162"/>
      <c r="B505" s="610" t="s">
        <v>217</v>
      </c>
      <c r="C505" s="68" t="s">
        <v>300</v>
      </c>
      <c r="D505" s="55" t="s">
        <v>36</v>
      </c>
      <c r="E505" s="55" t="s">
        <v>69</v>
      </c>
      <c r="F505" s="799" t="s">
        <v>63</v>
      </c>
      <c r="G505" s="800" t="s">
        <v>87</v>
      </c>
      <c r="H505" s="800" t="s">
        <v>42</v>
      </c>
      <c r="I505" s="801" t="s">
        <v>43</v>
      </c>
      <c r="J505" s="55"/>
      <c r="K505" s="261">
        <f>K506+K509+K512</f>
        <v>149.19999999999999</v>
      </c>
      <c r="L505" s="261">
        <f t="shared" ref="L505" si="196">L506+L509+L512</f>
        <v>0</v>
      </c>
      <c r="M505" s="261">
        <f>M506+M509+M512</f>
        <v>149.19999999999999</v>
      </c>
      <c r="N505" s="261">
        <f>N506+N509+N512</f>
        <v>149.19999999999999</v>
      </c>
    </row>
    <row r="506" spans="1:14" s="163" customFormat="1" ht="36" x14ac:dyDescent="0.35">
      <c r="A506" s="162"/>
      <c r="B506" s="681" t="s">
        <v>371</v>
      </c>
      <c r="C506" s="68" t="s">
        <v>300</v>
      </c>
      <c r="D506" s="55" t="s">
        <v>36</v>
      </c>
      <c r="E506" s="55" t="s">
        <v>69</v>
      </c>
      <c r="F506" s="799" t="s">
        <v>63</v>
      </c>
      <c r="G506" s="800" t="s">
        <v>87</v>
      </c>
      <c r="H506" s="800" t="s">
        <v>38</v>
      </c>
      <c r="I506" s="801" t="s">
        <v>43</v>
      </c>
      <c r="J506" s="55"/>
      <c r="K506" s="261">
        <f t="shared" ref="K506:N507" si="197">K507</f>
        <v>87.3</v>
      </c>
      <c r="L506" s="261">
        <f t="shared" si="197"/>
        <v>0</v>
      </c>
      <c r="M506" s="261">
        <f t="shared" si="197"/>
        <v>87.3</v>
      </c>
      <c r="N506" s="261">
        <f t="shared" si="197"/>
        <v>87.3</v>
      </c>
    </row>
    <row r="507" spans="1:14" s="163" customFormat="1" ht="54" x14ac:dyDescent="0.35">
      <c r="A507" s="162"/>
      <c r="B507" s="681" t="s">
        <v>372</v>
      </c>
      <c r="C507" s="68" t="s">
        <v>300</v>
      </c>
      <c r="D507" s="55" t="s">
        <v>36</v>
      </c>
      <c r="E507" s="55" t="s">
        <v>69</v>
      </c>
      <c r="F507" s="799" t="s">
        <v>63</v>
      </c>
      <c r="G507" s="800" t="s">
        <v>87</v>
      </c>
      <c r="H507" s="800" t="s">
        <v>38</v>
      </c>
      <c r="I507" s="801" t="s">
        <v>103</v>
      </c>
      <c r="J507" s="55"/>
      <c r="K507" s="261">
        <f t="shared" si="197"/>
        <v>87.3</v>
      </c>
      <c r="L507" s="261">
        <f t="shared" si="197"/>
        <v>0</v>
      </c>
      <c r="M507" s="261">
        <f t="shared" si="197"/>
        <v>87.3</v>
      </c>
      <c r="N507" s="261">
        <f t="shared" si="197"/>
        <v>87.3</v>
      </c>
    </row>
    <row r="508" spans="1:14" s="163" customFormat="1" ht="54" x14ac:dyDescent="0.35">
      <c r="A508" s="162"/>
      <c r="B508" s="681" t="s">
        <v>53</v>
      </c>
      <c r="C508" s="68" t="s">
        <v>300</v>
      </c>
      <c r="D508" s="55" t="s">
        <v>36</v>
      </c>
      <c r="E508" s="55" t="s">
        <v>69</v>
      </c>
      <c r="F508" s="799" t="s">
        <v>63</v>
      </c>
      <c r="G508" s="800" t="s">
        <v>87</v>
      </c>
      <c r="H508" s="800" t="s">
        <v>38</v>
      </c>
      <c r="I508" s="801" t="s">
        <v>103</v>
      </c>
      <c r="J508" s="55" t="s">
        <v>54</v>
      </c>
      <c r="K508" s="261">
        <v>87.3</v>
      </c>
      <c r="L508" s="69">
        <f>M508-K508</f>
        <v>0</v>
      </c>
      <c r="M508" s="261">
        <v>87.3</v>
      </c>
      <c r="N508" s="261">
        <v>87.3</v>
      </c>
    </row>
    <row r="509" spans="1:14" s="163" customFormat="1" ht="36" x14ac:dyDescent="0.35">
      <c r="A509" s="162"/>
      <c r="B509" s="610" t="s">
        <v>488</v>
      </c>
      <c r="C509" s="68" t="s">
        <v>300</v>
      </c>
      <c r="D509" s="55" t="s">
        <v>36</v>
      </c>
      <c r="E509" s="55" t="s">
        <v>69</v>
      </c>
      <c r="F509" s="799" t="s">
        <v>63</v>
      </c>
      <c r="G509" s="800" t="s">
        <v>87</v>
      </c>
      <c r="H509" s="800" t="s">
        <v>61</v>
      </c>
      <c r="I509" s="801" t="s">
        <v>43</v>
      </c>
      <c r="J509" s="55"/>
      <c r="K509" s="261">
        <f t="shared" ref="K509:N510" si="198">K510</f>
        <v>15.4</v>
      </c>
      <c r="L509" s="261">
        <f t="shared" si="198"/>
        <v>0</v>
      </c>
      <c r="M509" s="261">
        <f t="shared" si="198"/>
        <v>15.4</v>
      </c>
      <c r="N509" s="261">
        <f t="shared" si="198"/>
        <v>15.4</v>
      </c>
    </row>
    <row r="510" spans="1:14" s="163" customFormat="1" ht="18" x14ac:dyDescent="0.35">
      <c r="A510" s="162"/>
      <c r="B510" s="610" t="s">
        <v>486</v>
      </c>
      <c r="C510" s="68" t="s">
        <v>300</v>
      </c>
      <c r="D510" s="55" t="s">
        <v>36</v>
      </c>
      <c r="E510" s="55" t="s">
        <v>69</v>
      </c>
      <c r="F510" s="799" t="s">
        <v>63</v>
      </c>
      <c r="G510" s="800" t="s">
        <v>87</v>
      </c>
      <c r="H510" s="800" t="s">
        <v>61</v>
      </c>
      <c r="I510" s="801" t="s">
        <v>487</v>
      </c>
      <c r="J510" s="55"/>
      <c r="K510" s="261">
        <f t="shared" si="198"/>
        <v>15.4</v>
      </c>
      <c r="L510" s="261">
        <f t="shared" si="198"/>
        <v>0</v>
      </c>
      <c r="M510" s="261">
        <f t="shared" si="198"/>
        <v>15.4</v>
      </c>
      <c r="N510" s="261">
        <f t="shared" si="198"/>
        <v>15.4</v>
      </c>
    </row>
    <row r="511" spans="1:14" s="163" customFormat="1" ht="54" x14ac:dyDescent="0.35">
      <c r="A511" s="162"/>
      <c r="B511" s="681" t="s">
        <v>53</v>
      </c>
      <c r="C511" s="68" t="s">
        <v>300</v>
      </c>
      <c r="D511" s="55" t="s">
        <v>36</v>
      </c>
      <c r="E511" s="55" t="s">
        <v>69</v>
      </c>
      <c r="F511" s="799" t="s">
        <v>63</v>
      </c>
      <c r="G511" s="800" t="s">
        <v>87</v>
      </c>
      <c r="H511" s="800" t="s">
        <v>61</v>
      </c>
      <c r="I511" s="801" t="s">
        <v>487</v>
      </c>
      <c r="J511" s="73" t="s">
        <v>54</v>
      </c>
      <c r="K511" s="261">
        <v>15.4</v>
      </c>
      <c r="L511" s="69">
        <f>M511-K511</f>
        <v>0</v>
      </c>
      <c r="M511" s="261">
        <v>15.4</v>
      </c>
      <c r="N511" s="261">
        <v>15.4</v>
      </c>
    </row>
    <row r="512" spans="1:14" s="163" customFormat="1" ht="36" x14ac:dyDescent="0.35">
      <c r="A512" s="162"/>
      <c r="B512" s="681" t="s">
        <v>491</v>
      </c>
      <c r="C512" s="68" t="s">
        <v>300</v>
      </c>
      <c r="D512" s="55" t="s">
        <v>36</v>
      </c>
      <c r="E512" s="55" t="s">
        <v>69</v>
      </c>
      <c r="F512" s="799" t="s">
        <v>63</v>
      </c>
      <c r="G512" s="800" t="s">
        <v>87</v>
      </c>
      <c r="H512" s="800" t="s">
        <v>50</v>
      </c>
      <c r="I512" s="801" t="s">
        <v>43</v>
      </c>
      <c r="J512" s="64"/>
      <c r="K512" s="261">
        <f t="shared" ref="K512:N513" si="199">K513</f>
        <v>46.5</v>
      </c>
      <c r="L512" s="261">
        <f t="shared" si="199"/>
        <v>0</v>
      </c>
      <c r="M512" s="261">
        <f t="shared" si="199"/>
        <v>46.5</v>
      </c>
      <c r="N512" s="261">
        <f t="shared" si="199"/>
        <v>46.5</v>
      </c>
    </row>
    <row r="513" spans="1:14" s="163" customFormat="1" ht="36" x14ac:dyDescent="0.35">
      <c r="A513" s="162"/>
      <c r="B513" s="682" t="s">
        <v>125</v>
      </c>
      <c r="C513" s="68" t="s">
        <v>300</v>
      </c>
      <c r="D513" s="55" t="s">
        <v>36</v>
      </c>
      <c r="E513" s="55" t="s">
        <v>69</v>
      </c>
      <c r="F513" s="799" t="s">
        <v>63</v>
      </c>
      <c r="G513" s="800" t="s">
        <v>87</v>
      </c>
      <c r="H513" s="800" t="s">
        <v>50</v>
      </c>
      <c r="I513" s="801" t="s">
        <v>88</v>
      </c>
      <c r="J513" s="64"/>
      <c r="K513" s="261">
        <f t="shared" si="199"/>
        <v>46.5</v>
      </c>
      <c r="L513" s="261">
        <f t="shared" si="199"/>
        <v>0</v>
      </c>
      <c r="M513" s="261">
        <f t="shared" si="199"/>
        <v>46.5</v>
      </c>
      <c r="N513" s="261">
        <f t="shared" si="199"/>
        <v>46.5</v>
      </c>
    </row>
    <row r="514" spans="1:14" s="163" customFormat="1" ht="54" x14ac:dyDescent="0.35">
      <c r="A514" s="162"/>
      <c r="B514" s="681" t="s">
        <v>53</v>
      </c>
      <c r="C514" s="68" t="s">
        <v>300</v>
      </c>
      <c r="D514" s="55" t="s">
        <v>36</v>
      </c>
      <c r="E514" s="55" t="s">
        <v>69</v>
      </c>
      <c r="F514" s="799" t="s">
        <v>63</v>
      </c>
      <c r="G514" s="800" t="s">
        <v>87</v>
      </c>
      <c r="H514" s="800" t="s">
        <v>50</v>
      </c>
      <c r="I514" s="801" t="s">
        <v>88</v>
      </c>
      <c r="J514" s="73" t="s">
        <v>54</v>
      </c>
      <c r="K514" s="261">
        <v>46.5</v>
      </c>
      <c r="L514" s="69">
        <f>M514-K514</f>
        <v>0</v>
      </c>
      <c r="M514" s="261">
        <v>46.5</v>
      </c>
      <c r="N514" s="261">
        <v>46.5</v>
      </c>
    </row>
    <row r="515" spans="1:14" s="52" customFormat="1" ht="18" x14ac:dyDescent="0.35">
      <c r="A515" s="162"/>
      <c r="B515" s="610" t="s">
        <v>177</v>
      </c>
      <c r="C515" s="68" t="s">
        <v>300</v>
      </c>
      <c r="D515" s="55" t="s">
        <v>221</v>
      </c>
      <c r="E515" s="55"/>
      <c r="F515" s="799"/>
      <c r="G515" s="800"/>
      <c r="H515" s="800"/>
      <c r="I515" s="801"/>
      <c r="J515" s="55"/>
      <c r="K515" s="69">
        <f>K516+K524</f>
        <v>8318</v>
      </c>
      <c r="L515" s="69">
        <f t="shared" ref="L515" si="200">L516+L524</f>
        <v>0</v>
      </c>
      <c r="M515" s="69">
        <f>M516+M524</f>
        <v>8318</v>
      </c>
      <c r="N515" s="69">
        <f>N516+N524</f>
        <v>8324</v>
      </c>
    </row>
    <row r="516" spans="1:14" s="163" customFormat="1" ht="18" x14ac:dyDescent="0.35">
      <c r="A516" s="162"/>
      <c r="B516" s="610" t="s">
        <v>370</v>
      </c>
      <c r="C516" s="68" t="s">
        <v>300</v>
      </c>
      <c r="D516" s="55" t="s">
        <v>221</v>
      </c>
      <c r="E516" s="55" t="s">
        <v>221</v>
      </c>
      <c r="F516" s="799"/>
      <c r="G516" s="800"/>
      <c r="H516" s="800"/>
      <c r="I516" s="801"/>
      <c r="J516" s="55"/>
      <c r="K516" s="69">
        <f>K517</f>
        <v>4526.8999999999996</v>
      </c>
      <c r="L516" s="69">
        <f t="shared" ref="L516" si="201">L517</f>
        <v>0</v>
      </c>
      <c r="M516" s="69">
        <f>M517</f>
        <v>4526.8999999999996</v>
      </c>
      <c r="N516" s="69">
        <f>N517</f>
        <v>4526.8999999999996</v>
      </c>
    </row>
    <row r="517" spans="1:14" s="163" customFormat="1" ht="54" x14ac:dyDescent="0.35">
      <c r="A517" s="162"/>
      <c r="B517" s="610" t="s">
        <v>218</v>
      </c>
      <c r="C517" s="68" t="s">
        <v>300</v>
      </c>
      <c r="D517" s="55" t="s">
        <v>221</v>
      </c>
      <c r="E517" s="55" t="s">
        <v>221</v>
      </c>
      <c r="F517" s="799" t="s">
        <v>63</v>
      </c>
      <c r="G517" s="800" t="s">
        <v>41</v>
      </c>
      <c r="H517" s="800" t="s">
        <v>42</v>
      </c>
      <c r="I517" s="801" t="s">
        <v>43</v>
      </c>
      <c r="J517" s="55"/>
      <c r="K517" s="69">
        <f t="shared" ref="K517:N519" si="202">K518</f>
        <v>4526.8999999999996</v>
      </c>
      <c r="L517" s="69">
        <f t="shared" si="202"/>
        <v>0</v>
      </c>
      <c r="M517" s="69">
        <f t="shared" si="202"/>
        <v>4526.8999999999996</v>
      </c>
      <c r="N517" s="69">
        <f t="shared" si="202"/>
        <v>4526.8999999999996</v>
      </c>
    </row>
    <row r="518" spans="1:14" s="163" customFormat="1" ht="18" x14ac:dyDescent="0.35">
      <c r="A518" s="162"/>
      <c r="B518" s="610" t="s">
        <v>219</v>
      </c>
      <c r="C518" s="68" t="s">
        <v>300</v>
      </c>
      <c r="D518" s="55" t="s">
        <v>221</v>
      </c>
      <c r="E518" s="55" t="s">
        <v>221</v>
      </c>
      <c r="F518" s="799" t="s">
        <v>63</v>
      </c>
      <c r="G518" s="800" t="s">
        <v>44</v>
      </c>
      <c r="H518" s="800" t="s">
        <v>42</v>
      </c>
      <c r="I518" s="801" t="s">
        <v>43</v>
      </c>
      <c r="J518" s="55"/>
      <c r="K518" s="69">
        <f t="shared" si="202"/>
        <v>4526.8999999999996</v>
      </c>
      <c r="L518" s="69">
        <f t="shared" si="202"/>
        <v>0</v>
      </c>
      <c r="M518" s="69">
        <f t="shared" si="202"/>
        <v>4526.8999999999996</v>
      </c>
      <c r="N518" s="69">
        <f t="shared" si="202"/>
        <v>4526.8999999999996</v>
      </c>
    </row>
    <row r="519" spans="1:14" s="163" customFormat="1" ht="72" x14ac:dyDescent="0.35">
      <c r="A519" s="162"/>
      <c r="B519" s="610" t="s">
        <v>301</v>
      </c>
      <c r="C519" s="68" t="s">
        <v>300</v>
      </c>
      <c r="D519" s="55" t="s">
        <v>221</v>
      </c>
      <c r="E519" s="55" t="s">
        <v>221</v>
      </c>
      <c r="F519" s="799" t="s">
        <v>63</v>
      </c>
      <c r="G519" s="800" t="s">
        <v>44</v>
      </c>
      <c r="H519" s="800" t="s">
        <v>36</v>
      </c>
      <c r="I519" s="801" t="s">
        <v>43</v>
      </c>
      <c r="J519" s="55"/>
      <c r="K519" s="69">
        <f>K520</f>
        <v>4526.8999999999996</v>
      </c>
      <c r="L519" s="69">
        <f t="shared" si="202"/>
        <v>0</v>
      </c>
      <c r="M519" s="69">
        <f>M520</f>
        <v>4526.8999999999996</v>
      </c>
      <c r="N519" s="69">
        <f>N520</f>
        <v>4526.8999999999996</v>
      </c>
    </row>
    <row r="520" spans="1:14" s="163" customFormat="1" ht="36" x14ac:dyDescent="0.35">
      <c r="A520" s="162"/>
      <c r="B520" s="686" t="s">
        <v>484</v>
      </c>
      <c r="C520" s="68" t="s">
        <v>300</v>
      </c>
      <c r="D520" s="55" t="s">
        <v>221</v>
      </c>
      <c r="E520" s="55" t="s">
        <v>221</v>
      </c>
      <c r="F520" s="799" t="s">
        <v>63</v>
      </c>
      <c r="G520" s="800" t="s">
        <v>44</v>
      </c>
      <c r="H520" s="800" t="s">
        <v>36</v>
      </c>
      <c r="I520" s="801" t="s">
        <v>89</v>
      </c>
      <c r="J520" s="55"/>
      <c r="K520" s="69">
        <f>K521+K522+K523</f>
        <v>4526.8999999999996</v>
      </c>
      <c r="L520" s="69">
        <f t="shared" ref="L520" si="203">L521+L522+L523</f>
        <v>0</v>
      </c>
      <c r="M520" s="69">
        <f>M521+M522+M523</f>
        <v>4526.8999999999996</v>
      </c>
      <c r="N520" s="69">
        <f>N521+N522+N523</f>
        <v>4526.8999999999996</v>
      </c>
    </row>
    <row r="521" spans="1:14" s="163" customFormat="1" ht="108" x14ac:dyDescent="0.35">
      <c r="A521" s="56"/>
      <c r="B521" s="610" t="s">
        <v>48</v>
      </c>
      <c r="C521" s="68" t="s">
        <v>300</v>
      </c>
      <c r="D521" s="55" t="s">
        <v>221</v>
      </c>
      <c r="E521" s="55" t="s">
        <v>221</v>
      </c>
      <c r="F521" s="799" t="s">
        <v>63</v>
      </c>
      <c r="G521" s="800" t="s">
        <v>44</v>
      </c>
      <c r="H521" s="800" t="s">
        <v>36</v>
      </c>
      <c r="I521" s="801" t="s">
        <v>89</v>
      </c>
      <c r="J521" s="55" t="s">
        <v>49</v>
      </c>
      <c r="K521" s="69">
        <v>4152.7</v>
      </c>
      <c r="L521" s="69">
        <f>M521-K521</f>
        <v>0</v>
      </c>
      <c r="M521" s="69">
        <v>4152.7</v>
      </c>
      <c r="N521" s="69">
        <v>4152.7</v>
      </c>
    </row>
    <row r="522" spans="1:14" s="52" customFormat="1" ht="54" x14ac:dyDescent="0.35">
      <c r="A522" s="56"/>
      <c r="B522" s="610" t="s">
        <v>53</v>
      </c>
      <c r="C522" s="68" t="s">
        <v>300</v>
      </c>
      <c r="D522" s="55" t="s">
        <v>221</v>
      </c>
      <c r="E522" s="55" t="s">
        <v>221</v>
      </c>
      <c r="F522" s="799" t="s">
        <v>63</v>
      </c>
      <c r="G522" s="800" t="s">
        <v>44</v>
      </c>
      <c r="H522" s="800" t="s">
        <v>36</v>
      </c>
      <c r="I522" s="801" t="s">
        <v>89</v>
      </c>
      <c r="J522" s="55" t="s">
        <v>54</v>
      </c>
      <c r="K522" s="69">
        <v>371.5</v>
      </c>
      <c r="L522" s="69">
        <f>M522-K522</f>
        <v>0</v>
      </c>
      <c r="M522" s="69">
        <v>371.5</v>
      </c>
      <c r="N522" s="69">
        <v>371.5</v>
      </c>
    </row>
    <row r="523" spans="1:14" s="52" customFormat="1" ht="18" x14ac:dyDescent="0.35">
      <c r="A523" s="56"/>
      <c r="B523" s="610" t="s">
        <v>55</v>
      </c>
      <c r="C523" s="68" t="s">
        <v>300</v>
      </c>
      <c r="D523" s="55" t="s">
        <v>221</v>
      </c>
      <c r="E523" s="55" t="s">
        <v>221</v>
      </c>
      <c r="F523" s="799" t="s">
        <v>63</v>
      </c>
      <c r="G523" s="800" t="s">
        <v>44</v>
      </c>
      <c r="H523" s="800" t="s">
        <v>36</v>
      </c>
      <c r="I523" s="801" t="s">
        <v>89</v>
      </c>
      <c r="J523" s="55" t="s">
        <v>56</v>
      </c>
      <c r="K523" s="69">
        <v>2.7</v>
      </c>
      <c r="L523" s="69">
        <f>M523-K523</f>
        <v>0</v>
      </c>
      <c r="M523" s="69">
        <v>2.7</v>
      </c>
      <c r="N523" s="69">
        <v>2.7</v>
      </c>
    </row>
    <row r="524" spans="1:14" s="52" customFormat="1" ht="18" x14ac:dyDescent="0.35">
      <c r="A524" s="56"/>
      <c r="B524" s="610" t="s">
        <v>184</v>
      </c>
      <c r="C524" s="195" t="s">
        <v>300</v>
      </c>
      <c r="D524" s="55" t="s">
        <v>221</v>
      </c>
      <c r="E524" s="55" t="s">
        <v>77</v>
      </c>
      <c r="F524" s="799"/>
      <c r="G524" s="800"/>
      <c r="H524" s="800"/>
      <c r="I524" s="801"/>
      <c r="J524" s="55"/>
      <c r="K524" s="69">
        <f t="shared" ref="K524:N527" si="204">K525</f>
        <v>3791.1</v>
      </c>
      <c r="L524" s="69">
        <f t="shared" si="204"/>
        <v>0</v>
      </c>
      <c r="M524" s="69">
        <f t="shared" si="204"/>
        <v>3791.1</v>
      </c>
      <c r="N524" s="69">
        <f t="shared" si="204"/>
        <v>3797.1</v>
      </c>
    </row>
    <row r="525" spans="1:14" s="52" customFormat="1" ht="54" x14ac:dyDescent="0.35">
      <c r="A525" s="56"/>
      <c r="B525" s="610" t="s">
        <v>218</v>
      </c>
      <c r="C525" s="195" t="s">
        <v>300</v>
      </c>
      <c r="D525" s="55" t="s">
        <v>221</v>
      </c>
      <c r="E525" s="55" t="s">
        <v>77</v>
      </c>
      <c r="F525" s="799" t="s">
        <v>63</v>
      </c>
      <c r="G525" s="800" t="s">
        <v>41</v>
      </c>
      <c r="H525" s="800" t="s">
        <v>42</v>
      </c>
      <c r="I525" s="801" t="s">
        <v>43</v>
      </c>
      <c r="J525" s="55"/>
      <c r="K525" s="69">
        <f t="shared" si="204"/>
        <v>3791.1</v>
      </c>
      <c r="L525" s="69">
        <f t="shared" si="204"/>
        <v>0</v>
      </c>
      <c r="M525" s="69">
        <f t="shared" si="204"/>
        <v>3791.1</v>
      </c>
      <c r="N525" s="69">
        <f t="shared" si="204"/>
        <v>3797.1</v>
      </c>
    </row>
    <row r="526" spans="1:14" s="52" customFormat="1" ht="36" x14ac:dyDescent="0.35">
      <c r="A526" s="56"/>
      <c r="B526" s="610" t="s">
        <v>217</v>
      </c>
      <c r="C526" s="68" t="s">
        <v>300</v>
      </c>
      <c r="D526" s="55" t="s">
        <v>221</v>
      </c>
      <c r="E526" s="55" t="s">
        <v>77</v>
      </c>
      <c r="F526" s="799" t="s">
        <v>63</v>
      </c>
      <c r="G526" s="800" t="s">
        <v>87</v>
      </c>
      <c r="H526" s="800" t="s">
        <v>42</v>
      </c>
      <c r="I526" s="801" t="s">
        <v>43</v>
      </c>
      <c r="J526" s="55"/>
      <c r="K526" s="69">
        <f t="shared" si="204"/>
        <v>3791.1</v>
      </c>
      <c r="L526" s="69">
        <f t="shared" si="204"/>
        <v>0</v>
      </c>
      <c r="M526" s="69">
        <f t="shared" si="204"/>
        <v>3791.1</v>
      </c>
      <c r="N526" s="69">
        <f t="shared" si="204"/>
        <v>3797.1</v>
      </c>
    </row>
    <row r="527" spans="1:14" s="163" customFormat="1" ht="36" x14ac:dyDescent="0.35">
      <c r="A527" s="56"/>
      <c r="B527" s="610" t="s">
        <v>296</v>
      </c>
      <c r="C527" s="68" t="s">
        <v>300</v>
      </c>
      <c r="D527" s="55" t="s">
        <v>221</v>
      </c>
      <c r="E527" s="55" t="s">
        <v>77</v>
      </c>
      <c r="F527" s="799" t="s">
        <v>63</v>
      </c>
      <c r="G527" s="800" t="s">
        <v>87</v>
      </c>
      <c r="H527" s="800" t="s">
        <v>36</v>
      </c>
      <c r="I527" s="801" t="s">
        <v>43</v>
      </c>
      <c r="J527" s="55"/>
      <c r="K527" s="69">
        <f t="shared" si="204"/>
        <v>3791.1</v>
      </c>
      <c r="L527" s="69">
        <f t="shared" si="204"/>
        <v>0</v>
      </c>
      <c r="M527" s="69">
        <f t="shared" si="204"/>
        <v>3791.1</v>
      </c>
      <c r="N527" s="69">
        <f t="shared" si="204"/>
        <v>3797.1</v>
      </c>
    </row>
    <row r="528" spans="1:14" s="52" customFormat="1" ht="36" x14ac:dyDescent="0.35">
      <c r="A528" s="56"/>
      <c r="B528" s="610" t="s">
        <v>46</v>
      </c>
      <c r="C528" s="68" t="s">
        <v>300</v>
      </c>
      <c r="D528" s="55" t="s">
        <v>221</v>
      </c>
      <c r="E528" s="55" t="s">
        <v>77</v>
      </c>
      <c r="F528" s="799" t="s">
        <v>63</v>
      </c>
      <c r="G528" s="800" t="s">
        <v>87</v>
      </c>
      <c r="H528" s="800" t="s">
        <v>36</v>
      </c>
      <c r="I528" s="801" t="s">
        <v>47</v>
      </c>
      <c r="J528" s="55"/>
      <c r="K528" s="69">
        <f>K529+K530+K531</f>
        <v>3791.1</v>
      </c>
      <c r="L528" s="69">
        <f t="shared" ref="L528" si="205">L529+L530+L531</f>
        <v>0</v>
      </c>
      <c r="M528" s="69">
        <f>M529+M530+M531</f>
        <v>3791.1</v>
      </c>
      <c r="N528" s="69">
        <f>N529+N530+N531</f>
        <v>3797.1</v>
      </c>
    </row>
    <row r="529" spans="1:14" s="52" customFormat="1" ht="108" x14ac:dyDescent="0.35">
      <c r="A529" s="56"/>
      <c r="B529" s="610" t="s">
        <v>48</v>
      </c>
      <c r="C529" s="68" t="s">
        <v>300</v>
      </c>
      <c r="D529" s="55" t="s">
        <v>221</v>
      </c>
      <c r="E529" s="55" t="s">
        <v>77</v>
      </c>
      <c r="F529" s="799" t="s">
        <v>63</v>
      </c>
      <c r="G529" s="800" t="s">
        <v>87</v>
      </c>
      <c r="H529" s="800" t="s">
        <v>36</v>
      </c>
      <c r="I529" s="801" t="s">
        <v>47</v>
      </c>
      <c r="J529" s="55" t="s">
        <v>49</v>
      </c>
      <c r="K529" s="69">
        <f>3392.2+22.4</f>
        <v>3414.6</v>
      </c>
      <c r="L529" s="69">
        <f>M529-K529</f>
        <v>0</v>
      </c>
      <c r="M529" s="69">
        <f>3392.2+22.4</f>
        <v>3414.6</v>
      </c>
      <c r="N529" s="69">
        <f>3392.2+22.4</f>
        <v>3414.6</v>
      </c>
    </row>
    <row r="530" spans="1:14" s="52" customFormat="1" ht="54" x14ac:dyDescent="0.35">
      <c r="A530" s="56"/>
      <c r="B530" s="610" t="s">
        <v>53</v>
      </c>
      <c r="C530" s="195" t="s">
        <v>300</v>
      </c>
      <c r="D530" s="140" t="s">
        <v>221</v>
      </c>
      <c r="E530" s="140" t="s">
        <v>77</v>
      </c>
      <c r="F530" s="799" t="s">
        <v>63</v>
      </c>
      <c r="G530" s="800" t="s">
        <v>87</v>
      </c>
      <c r="H530" s="800" t="s">
        <v>36</v>
      </c>
      <c r="I530" s="801" t="s">
        <v>47</v>
      </c>
      <c r="J530" s="55" t="s">
        <v>54</v>
      </c>
      <c r="K530" s="69">
        <v>375.3</v>
      </c>
      <c r="L530" s="69">
        <f>M530-K530</f>
        <v>0</v>
      </c>
      <c r="M530" s="69">
        <v>375.3</v>
      </c>
      <c r="N530" s="69">
        <v>381.3</v>
      </c>
    </row>
    <row r="531" spans="1:14" s="52" customFormat="1" ht="18" x14ac:dyDescent="0.35">
      <c r="A531" s="56"/>
      <c r="B531" s="610" t="s">
        <v>55</v>
      </c>
      <c r="C531" s="195" t="s">
        <v>300</v>
      </c>
      <c r="D531" s="140" t="s">
        <v>221</v>
      </c>
      <c r="E531" s="140" t="s">
        <v>77</v>
      </c>
      <c r="F531" s="799" t="s">
        <v>63</v>
      </c>
      <c r="G531" s="800" t="s">
        <v>87</v>
      </c>
      <c r="H531" s="800" t="s">
        <v>36</v>
      </c>
      <c r="I531" s="801" t="s">
        <v>47</v>
      </c>
      <c r="J531" s="55" t="s">
        <v>56</v>
      </c>
      <c r="K531" s="69">
        <v>1.2</v>
      </c>
      <c r="L531" s="69">
        <f>M531-K531</f>
        <v>0</v>
      </c>
      <c r="M531" s="69">
        <v>1.2</v>
      </c>
      <c r="N531" s="69">
        <v>1.2</v>
      </c>
    </row>
    <row r="532" spans="1:14" s="52" customFormat="1" ht="18" x14ac:dyDescent="0.35">
      <c r="A532" s="56"/>
      <c r="B532" s="610"/>
      <c r="C532" s="195"/>
      <c r="D532" s="140"/>
      <c r="E532" s="140"/>
      <c r="F532" s="799"/>
      <c r="G532" s="800"/>
      <c r="H532" s="800"/>
      <c r="I532" s="801"/>
      <c r="J532" s="55"/>
      <c r="K532" s="69"/>
      <c r="L532" s="69"/>
      <c r="M532" s="69"/>
      <c r="N532" s="69"/>
    </row>
    <row r="533" spans="1:14" s="163" customFormat="1" ht="52.2" x14ac:dyDescent="0.3">
      <c r="A533" s="162">
        <v>9</v>
      </c>
      <c r="B533" s="656" t="s">
        <v>12</v>
      </c>
      <c r="C533" s="63" t="s">
        <v>308</v>
      </c>
      <c r="D533" s="64"/>
      <c r="E533" s="64"/>
      <c r="F533" s="65"/>
      <c r="G533" s="66"/>
      <c r="H533" s="66"/>
      <c r="I533" s="67"/>
      <c r="J533" s="64"/>
      <c r="K533" s="77">
        <f>K534</f>
        <v>76105.099999999991</v>
      </c>
      <c r="L533" s="77">
        <f t="shared" ref="L533" si="206">L534</f>
        <v>142.9</v>
      </c>
      <c r="M533" s="77">
        <f>M534</f>
        <v>76247.999999999985</v>
      </c>
      <c r="N533" s="77">
        <f>N534</f>
        <v>78334.199999999983</v>
      </c>
    </row>
    <row r="534" spans="1:14" s="52" customFormat="1" ht="18" x14ac:dyDescent="0.35">
      <c r="A534" s="56"/>
      <c r="B534" s="659" t="s">
        <v>117</v>
      </c>
      <c r="C534" s="68" t="s">
        <v>308</v>
      </c>
      <c r="D534" s="55" t="s">
        <v>102</v>
      </c>
      <c r="E534" s="55"/>
      <c r="F534" s="799"/>
      <c r="G534" s="800"/>
      <c r="H534" s="800"/>
      <c r="I534" s="801"/>
      <c r="J534" s="55"/>
      <c r="K534" s="69">
        <f>K535+K553</f>
        <v>76105.099999999991</v>
      </c>
      <c r="L534" s="69">
        <f t="shared" ref="L534" si="207">L535+L553</f>
        <v>142.9</v>
      </c>
      <c r="M534" s="69">
        <f>M535+M553</f>
        <v>76247.999999999985</v>
      </c>
      <c r="N534" s="69">
        <f>N535+N553</f>
        <v>78334.199999999983</v>
      </c>
    </row>
    <row r="535" spans="1:14" s="52" customFormat="1" ht="18" x14ac:dyDescent="0.35">
      <c r="A535" s="56"/>
      <c r="B535" s="610" t="s">
        <v>191</v>
      </c>
      <c r="C535" s="68" t="s">
        <v>308</v>
      </c>
      <c r="D535" s="55" t="s">
        <v>102</v>
      </c>
      <c r="E535" s="55" t="s">
        <v>50</v>
      </c>
      <c r="F535" s="799"/>
      <c r="G535" s="800"/>
      <c r="H535" s="800"/>
      <c r="I535" s="801"/>
      <c r="J535" s="55"/>
      <c r="K535" s="69">
        <f t="shared" ref="K535:N537" si="208">K536</f>
        <v>66853.599999999991</v>
      </c>
      <c r="L535" s="69">
        <f t="shared" si="208"/>
        <v>142.9</v>
      </c>
      <c r="M535" s="69">
        <f t="shared" si="208"/>
        <v>66996.499999999985</v>
      </c>
      <c r="N535" s="69">
        <f t="shared" si="208"/>
        <v>68556.999999999985</v>
      </c>
    </row>
    <row r="536" spans="1:14" s="52" customFormat="1" ht="54" x14ac:dyDescent="0.35">
      <c r="A536" s="56"/>
      <c r="B536" s="617" t="s">
        <v>227</v>
      </c>
      <c r="C536" s="68" t="s">
        <v>308</v>
      </c>
      <c r="D536" s="55" t="s">
        <v>102</v>
      </c>
      <c r="E536" s="55" t="s">
        <v>50</v>
      </c>
      <c r="F536" s="799" t="s">
        <v>77</v>
      </c>
      <c r="G536" s="800" t="s">
        <v>41</v>
      </c>
      <c r="H536" s="800" t="s">
        <v>42</v>
      </c>
      <c r="I536" s="801" t="s">
        <v>43</v>
      </c>
      <c r="J536" s="55"/>
      <c r="K536" s="69">
        <f t="shared" si="208"/>
        <v>66853.599999999991</v>
      </c>
      <c r="L536" s="69">
        <f t="shared" si="208"/>
        <v>142.9</v>
      </c>
      <c r="M536" s="69">
        <f t="shared" si="208"/>
        <v>66996.499999999985</v>
      </c>
      <c r="N536" s="69">
        <f t="shared" si="208"/>
        <v>68556.999999999985</v>
      </c>
    </row>
    <row r="537" spans="1:14" s="52" customFormat="1" ht="36" x14ac:dyDescent="0.35">
      <c r="A537" s="56"/>
      <c r="B537" s="610" t="s">
        <v>359</v>
      </c>
      <c r="C537" s="68" t="s">
        <v>308</v>
      </c>
      <c r="D537" s="55" t="s">
        <v>102</v>
      </c>
      <c r="E537" s="55" t="s">
        <v>50</v>
      </c>
      <c r="F537" s="799" t="s">
        <v>77</v>
      </c>
      <c r="G537" s="800" t="s">
        <v>44</v>
      </c>
      <c r="H537" s="800" t="s">
        <v>42</v>
      </c>
      <c r="I537" s="801" t="s">
        <v>43</v>
      </c>
      <c r="J537" s="55"/>
      <c r="K537" s="69">
        <f>K538</f>
        <v>66853.599999999991</v>
      </c>
      <c r="L537" s="69">
        <f t="shared" si="208"/>
        <v>142.9</v>
      </c>
      <c r="M537" s="69">
        <f>M538</f>
        <v>66996.499999999985</v>
      </c>
      <c r="N537" s="69">
        <f>N538</f>
        <v>68556.999999999985</v>
      </c>
    </row>
    <row r="538" spans="1:14" s="163" customFormat="1" ht="36" x14ac:dyDescent="0.35">
      <c r="A538" s="56"/>
      <c r="B538" s="610" t="s">
        <v>299</v>
      </c>
      <c r="C538" s="68" t="s">
        <v>308</v>
      </c>
      <c r="D538" s="55" t="s">
        <v>102</v>
      </c>
      <c r="E538" s="55" t="s">
        <v>50</v>
      </c>
      <c r="F538" s="799" t="s">
        <v>77</v>
      </c>
      <c r="G538" s="800" t="s">
        <v>44</v>
      </c>
      <c r="H538" s="800" t="s">
        <v>36</v>
      </c>
      <c r="I538" s="801" t="s">
        <v>43</v>
      </c>
      <c r="J538" s="55"/>
      <c r="K538" s="69">
        <f>K539+K542+K547+K550</f>
        <v>66853.599999999991</v>
      </c>
      <c r="L538" s="69">
        <f>L539+L542+L547+L550+L545</f>
        <v>142.9</v>
      </c>
      <c r="M538" s="69">
        <f t="shared" ref="M538:N538" si="209">M539+M542+M547+M550+M545</f>
        <v>66996.499999999985</v>
      </c>
      <c r="N538" s="69">
        <f t="shared" si="209"/>
        <v>68556.999999999985</v>
      </c>
    </row>
    <row r="539" spans="1:14" s="163" customFormat="1" ht="144" x14ac:dyDescent="0.35">
      <c r="A539" s="56"/>
      <c r="B539" s="683" t="s">
        <v>377</v>
      </c>
      <c r="C539" s="68" t="s">
        <v>308</v>
      </c>
      <c r="D539" s="55" t="s">
        <v>102</v>
      </c>
      <c r="E539" s="55" t="s">
        <v>50</v>
      </c>
      <c r="F539" s="799" t="s">
        <v>77</v>
      </c>
      <c r="G539" s="800" t="s">
        <v>44</v>
      </c>
      <c r="H539" s="800" t="s">
        <v>36</v>
      </c>
      <c r="I539" s="801" t="s">
        <v>548</v>
      </c>
      <c r="J539" s="55"/>
      <c r="K539" s="69">
        <f>SUM(K540:K541)</f>
        <v>38813.9</v>
      </c>
      <c r="L539" s="69">
        <f t="shared" ref="L539" si="210">SUM(L540:L541)</f>
        <v>0</v>
      </c>
      <c r="M539" s="69">
        <f>SUM(M540:M541)</f>
        <v>38813.9</v>
      </c>
      <c r="N539" s="69">
        <f>SUM(N540:N541)</f>
        <v>40366.5</v>
      </c>
    </row>
    <row r="540" spans="1:14" s="163" customFormat="1" ht="54" x14ac:dyDescent="0.35">
      <c r="A540" s="56"/>
      <c r="B540" s="610" t="s">
        <v>53</v>
      </c>
      <c r="C540" s="68" t="s">
        <v>308</v>
      </c>
      <c r="D540" s="55" t="s">
        <v>102</v>
      </c>
      <c r="E540" s="55" t="s">
        <v>50</v>
      </c>
      <c r="F540" s="799" t="s">
        <v>77</v>
      </c>
      <c r="G540" s="800" t="s">
        <v>44</v>
      </c>
      <c r="H540" s="800" t="s">
        <v>36</v>
      </c>
      <c r="I540" s="801" t="s">
        <v>548</v>
      </c>
      <c r="J540" s="55" t="s">
        <v>54</v>
      </c>
      <c r="K540" s="69">
        <v>193.1</v>
      </c>
      <c r="L540" s="69">
        <f>M540-K540</f>
        <v>0</v>
      </c>
      <c r="M540" s="69">
        <v>193.1</v>
      </c>
      <c r="N540" s="69">
        <v>200.8</v>
      </c>
    </row>
    <row r="541" spans="1:14" s="163" customFormat="1" ht="36" x14ac:dyDescent="0.35">
      <c r="A541" s="56"/>
      <c r="B541" s="610" t="s">
        <v>118</v>
      </c>
      <c r="C541" s="68" t="s">
        <v>308</v>
      </c>
      <c r="D541" s="55" t="s">
        <v>102</v>
      </c>
      <c r="E541" s="55" t="s">
        <v>50</v>
      </c>
      <c r="F541" s="799" t="s">
        <v>77</v>
      </c>
      <c r="G541" s="800" t="s">
        <v>44</v>
      </c>
      <c r="H541" s="800" t="s">
        <v>36</v>
      </c>
      <c r="I541" s="801" t="s">
        <v>548</v>
      </c>
      <c r="J541" s="55" t="s">
        <v>119</v>
      </c>
      <c r="K541" s="69">
        <v>38620.800000000003</v>
      </c>
      <c r="L541" s="69">
        <f>M541-K541</f>
        <v>0</v>
      </c>
      <c r="M541" s="69">
        <v>38620.800000000003</v>
      </c>
      <c r="N541" s="69">
        <v>40165.699999999997</v>
      </c>
    </row>
    <row r="542" spans="1:14" s="163" customFormat="1" ht="90" x14ac:dyDescent="0.35">
      <c r="A542" s="56"/>
      <c r="B542" s="610" t="s">
        <v>379</v>
      </c>
      <c r="C542" s="68" t="s">
        <v>308</v>
      </c>
      <c r="D542" s="55" t="s">
        <v>102</v>
      </c>
      <c r="E542" s="55" t="s">
        <v>50</v>
      </c>
      <c r="F542" s="799" t="s">
        <v>77</v>
      </c>
      <c r="G542" s="800" t="s">
        <v>44</v>
      </c>
      <c r="H542" s="800" t="s">
        <v>36</v>
      </c>
      <c r="I542" s="801" t="s">
        <v>550</v>
      </c>
      <c r="J542" s="55"/>
      <c r="K542" s="69">
        <f>SUM(K543:K544)</f>
        <v>196.2</v>
      </c>
      <c r="L542" s="69">
        <f t="shared" ref="L542" si="211">SUM(L543:L544)</f>
        <v>0</v>
      </c>
      <c r="M542" s="69">
        <f>SUM(M543:M544)</f>
        <v>196.2</v>
      </c>
      <c r="N542" s="69">
        <f>SUM(N543:N544)</f>
        <v>204.1</v>
      </c>
    </row>
    <row r="543" spans="1:14" s="163" customFormat="1" ht="54" x14ac:dyDescent="0.35">
      <c r="A543" s="56"/>
      <c r="B543" s="610" t="s">
        <v>53</v>
      </c>
      <c r="C543" s="68" t="s">
        <v>308</v>
      </c>
      <c r="D543" s="55" t="s">
        <v>102</v>
      </c>
      <c r="E543" s="55" t="s">
        <v>50</v>
      </c>
      <c r="F543" s="799" t="s">
        <v>77</v>
      </c>
      <c r="G543" s="800" t="s">
        <v>44</v>
      </c>
      <c r="H543" s="800" t="s">
        <v>36</v>
      </c>
      <c r="I543" s="801" t="s">
        <v>550</v>
      </c>
      <c r="J543" s="55" t="s">
        <v>54</v>
      </c>
      <c r="K543" s="69">
        <v>1</v>
      </c>
      <c r="L543" s="69">
        <f>M543-K543</f>
        <v>0</v>
      </c>
      <c r="M543" s="69">
        <v>1</v>
      </c>
      <c r="N543" s="69">
        <v>1</v>
      </c>
    </row>
    <row r="544" spans="1:14" s="163" customFormat="1" ht="36" x14ac:dyDescent="0.35">
      <c r="A544" s="56"/>
      <c r="B544" s="610" t="s">
        <v>118</v>
      </c>
      <c r="C544" s="68" t="s">
        <v>308</v>
      </c>
      <c r="D544" s="55" t="s">
        <v>102</v>
      </c>
      <c r="E544" s="55" t="s">
        <v>50</v>
      </c>
      <c r="F544" s="799" t="s">
        <v>77</v>
      </c>
      <c r="G544" s="800" t="s">
        <v>44</v>
      </c>
      <c r="H544" s="800" t="s">
        <v>36</v>
      </c>
      <c r="I544" s="801" t="s">
        <v>550</v>
      </c>
      <c r="J544" s="55" t="s">
        <v>119</v>
      </c>
      <c r="K544" s="69">
        <v>195.2</v>
      </c>
      <c r="L544" s="69">
        <f>M544-K544</f>
        <v>0</v>
      </c>
      <c r="M544" s="69">
        <v>195.2</v>
      </c>
      <c r="N544" s="69">
        <v>203.1</v>
      </c>
    </row>
    <row r="545" spans="1:14" s="163" customFormat="1" ht="144" x14ac:dyDescent="0.35">
      <c r="A545" s="56"/>
      <c r="B545" s="610" t="s">
        <v>736</v>
      </c>
      <c r="C545" s="68" t="s">
        <v>308</v>
      </c>
      <c r="D545" s="55" t="s">
        <v>102</v>
      </c>
      <c r="E545" s="55" t="s">
        <v>50</v>
      </c>
      <c r="F545" s="799" t="s">
        <v>77</v>
      </c>
      <c r="G545" s="800" t="s">
        <v>44</v>
      </c>
      <c r="H545" s="800" t="s">
        <v>36</v>
      </c>
      <c r="I545" s="801" t="s">
        <v>735</v>
      </c>
      <c r="J545" s="55"/>
      <c r="K545" s="69"/>
      <c r="L545" s="69">
        <f>L546</f>
        <v>142.9</v>
      </c>
      <c r="M545" s="69">
        <f>M546</f>
        <v>142.9</v>
      </c>
      <c r="N545" s="69">
        <f>N546</f>
        <v>142.9</v>
      </c>
    </row>
    <row r="546" spans="1:14" s="163" customFormat="1" ht="36" x14ac:dyDescent="0.35">
      <c r="A546" s="56"/>
      <c r="B546" s="610" t="s">
        <v>118</v>
      </c>
      <c r="C546" s="68" t="s">
        <v>308</v>
      </c>
      <c r="D546" s="55" t="s">
        <v>102</v>
      </c>
      <c r="E546" s="55" t="s">
        <v>50</v>
      </c>
      <c r="F546" s="799" t="s">
        <v>77</v>
      </c>
      <c r="G546" s="800" t="s">
        <v>44</v>
      </c>
      <c r="H546" s="800" t="s">
        <v>36</v>
      </c>
      <c r="I546" s="801" t="s">
        <v>735</v>
      </c>
      <c r="J546" s="55" t="s">
        <v>119</v>
      </c>
      <c r="K546" s="69"/>
      <c r="L546" s="69">
        <f>M546-K546</f>
        <v>142.9</v>
      </c>
      <c r="M546" s="69">
        <v>142.9</v>
      </c>
      <c r="N546" s="69">
        <v>142.9</v>
      </c>
    </row>
    <row r="547" spans="1:14" s="163" customFormat="1" ht="90" x14ac:dyDescent="0.35">
      <c r="A547" s="56"/>
      <c r="B547" s="610" t="s">
        <v>378</v>
      </c>
      <c r="C547" s="68" t="s">
        <v>308</v>
      </c>
      <c r="D547" s="55" t="s">
        <v>102</v>
      </c>
      <c r="E547" s="55" t="s">
        <v>50</v>
      </c>
      <c r="F547" s="799" t="s">
        <v>77</v>
      </c>
      <c r="G547" s="800" t="s">
        <v>44</v>
      </c>
      <c r="H547" s="800" t="s">
        <v>36</v>
      </c>
      <c r="I547" s="801" t="s">
        <v>549</v>
      </c>
      <c r="J547" s="55"/>
      <c r="K547" s="69">
        <f>SUM(K548:K549)</f>
        <v>27653.599999999999</v>
      </c>
      <c r="L547" s="69">
        <f t="shared" ref="L547" si="212">SUM(L548:L549)</f>
        <v>0</v>
      </c>
      <c r="M547" s="69">
        <f>SUM(M548:M549)</f>
        <v>27653.599999999999</v>
      </c>
      <c r="N547" s="69">
        <f>SUM(N548:N549)</f>
        <v>27653.599999999999</v>
      </c>
    </row>
    <row r="548" spans="1:14" s="163" customFormat="1" ht="54" x14ac:dyDescent="0.35">
      <c r="A548" s="56"/>
      <c r="B548" s="610" t="s">
        <v>53</v>
      </c>
      <c r="C548" s="68" t="s">
        <v>308</v>
      </c>
      <c r="D548" s="55" t="s">
        <v>102</v>
      </c>
      <c r="E548" s="55" t="s">
        <v>50</v>
      </c>
      <c r="F548" s="799" t="s">
        <v>77</v>
      </c>
      <c r="G548" s="800" t="s">
        <v>44</v>
      </c>
      <c r="H548" s="800" t="s">
        <v>36</v>
      </c>
      <c r="I548" s="801" t="s">
        <v>549</v>
      </c>
      <c r="J548" s="55" t="s">
        <v>54</v>
      </c>
      <c r="K548" s="69">
        <v>138.30000000000001</v>
      </c>
      <c r="L548" s="69">
        <f>M548-K548</f>
        <v>0</v>
      </c>
      <c r="M548" s="69">
        <v>138.30000000000001</v>
      </c>
      <c r="N548" s="69">
        <v>138.30000000000001</v>
      </c>
    </row>
    <row r="549" spans="1:14" s="163" customFormat="1" ht="36" x14ac:dyDescent="0.35">
      <c r="A549" s="56"/>
      <c r="B549" s="610" t="s">
        <v>118</v>
      </c>
      <c r="C549" s="68" t="s">
        <v>308</v>
      </c>
      <c r="D549" s="55" t="s">
        <v>102</v>
      </c>
      <c r="E549" s="55" t="s">
        <v>50</v>
      </c>
      <c r="F549" s="799" t="s">
        <v>77</v>
      </c>
      <c r="G549" s="800" t="s">
        <v>44</v>
      </c>
      <c r="H549" s="800" t="s">
        <v>36</v>
      </c>
      <c r="I549" s="801" t="s">
        <v>549</v>
      </c>
      <c r="J549" s="55" t="s">
        <v>119</v>
      </c>
      <c r="K549" s="69">
        <v>27515.3</v>
      </c>
      <c r="L549" s="69">
        <f>M549-K549</f>
        <v>0</v>
      </c>
      <c r="M549" s="69">
        <v>27515.3</v>
      </c>
      <c r="N549" s="69">
        <v>27515.3</v>
      </c>
    </row>
    <row r="550" spans="1:14" s="163" customFormat="1" ht="108" x14ac:dyDescent="0.35">
      <c r="A550" s="56"/>
      <c r="B550" s="610" t="s">
        <v>385</v>
      </c>
      <c r="C550" s="68" t="s">
        <v>308</v>
      </c>
      <c r="D550" s="55" t="s">
        <v>102</v>
      </c>
      <c r="E550" s="55" t="s">
        <v>50</v>
      </c>
      <c r="F550" s="799" t="s">
        <v>77</v>
      </c>
      <c r="G550" s="800" t="s">
        <v>44</v>
      </c>
      <c r="H550" s="800" t="s">
        <v>36</v>
      </c>
      <c r="I550" s="801" t="s">
        <v>551</v>
      </c>
      <c r="J550" s="55"/>
      <c r="K550" s="69">
        <f>SUM(K551:K552)</f>
        <v>189.9</v>
      </c>
      <c r="L550" s="69">
        <f t="shared" ref="L550" si="213">SUM(L551:L552)</f>
        <v>0</v>
      </c>
      <c r="M550" s="69">
        <f>SUM(M551:M552)</f>
        <v>189.9</v>
      </c>
      <c r="N550" s="69">
        <f>SUM(N551:N552)</f>
        <v>189.9</v>
      </c>
    </row>
    <row r="551" spans="1:14" s="163" customFormat="1" ht="54" x14ac:dyDescent="0.35">
      <c r="A551" s="56"/>
      <c r="B551" s="610" t="s">
        <v>53</v>
      </c>
      <c r="C551" s="68" t="s">
        <v>308</v>
      </c>
      <c r="D551" s="55" t="s">
        <v>102</v>
      </c>
      <c r="E551" s="55" t="s">
        <v>50</v>
      </c>
      <c r="F551" s="799" t="s">
        <v>77</v>
      </c>
      <c r="G551" s="800" t="s">
        <v>44</v>
      </c>
      <c r="H551" s="800" t="s">
        <v>36</v>
      </c>
      <c r="I551" s="801" t="s">
        <v>551</v>
      </c>
      <c r="J551" s="55" t="s">
        <v>54</v>
      </c>
      <c r="K551" s="69">
        <v>0.9</v>
      </c>
      <c r="L551" s="69">
        <f>M551-K551</f>
        <v>0</v>
      </c>
      <c r="M551" s="69">
        <v>0.9</v>
      </c>
      <c r="N551" s="69">
        <v>0.9</v>
      </c>
    </row>
    <row r="552" spans="1:14" s="163" customFormat="1" ht="36" x14ac:dyDescent="0.35">
      <c r="A552" s="56"/>
      <c r="B552" s="610" t="s">
        <v>118</v>
      </c>
      <c r="C552" s="68" t="s">
        <v>308</v>
      </c>
      <c r="D552" s="55" t="s">
        <v>102</v>
      </c>
      <c r="E552" s="55" t="s">
        <v>50</v>
      </c>
      <c r="F552" s="799" t="s">
        <v>77</v>
      </c>
      <c r="G552" s="800" t="s">
        <v>44</v>
      </c>
      <c r="H552" s="800" t="s">
        <v>36</v>
      </c>
      <c r="I552" s="801" t="s">
        <v>551</v>
      </c>
      <c r="J552" s="55" t="s">
        <v>119</v>
      </c>
      <c r="K552" s="69">
        <v>189</v>
      </c>
      <c r="L552" s="69">
        <f>M552-K552</f>
        <v>0</v>
      </c>
      <c r="M552" s="69">
        <v>189</v>
      </c>
      <c r="N552" s="69">
        <v>189</v>
      </c>
    </row>
    <row r="553" spans="1:14" s="52" customFormat="1" ht="36" x14ac:dyDescent="0.35">
      <c r="A553" s="56"/>
      <c r="B553" s="610" t="s">
        <v>310</v>
      </c>
      <c r="C553" s="68" t="s">
        <v>308</v>
      </c>
      <c r="D553" s="55" t="s">
        <v>102</v>
      </c>
      <c r="E553" s="55" t="s">
        <v>79</v>
      </c>
      <c r="F553" s="799"/>
      <c r="G553" s="800"/>
      <c r="H553" s="800"/>
      <c r="I553" s="801"/>
      <c r="J553" s="55"/>
      <c r="K553" s="69">
        <f t="shared" ref="K553:N555" si="214">K554</f>
        <v>9251.5</v>
      </c>
      <c r="L553" s="69">
        <f t="shared" si="214"/>
        <v>0</v>
      </c>
      <c r="M553" s="69">
        <f t="shared" si="214"/>
        <v>9251.5</v>
      </c>
      <c r="N553" s="69">
        <f t="shared" si="214"/>
        <v>9777.2000000000007</v>
      </c>
    </row>
    <row r="554" spans="1:14" s="52" customFormat="1" ht="54" x14ac:dyDescent="0.35">
      <c r="A554" s="56"/>
      <c r="B554" s="617" t="s">
        <v>227</v>
      </c>
      <c r="C554" s="68" t="s">
        <v>308</v>
      </c>
      <c r="D554" s="55" t="s">
        <v>102</v>
      </c>
      <c r="E554" s="55" t="s">
        <v>79</v>
      </c>
      <c r="F554" s="799" t="s">
        <v>77</v>
      </c>
      <c r="G554" s="800" t="s">
        <v>41</v>
      </c>
      <c r="H554" s="800" t="s">
        <v>42</v>
      </c>
      <c r="I554" s="801" t="s">
        <v>43</v>
      </c>
      <c r="J554" s="55"/>
      <c r="K554" s="69">
        <f t="shared" si="214"/>
        <v>9251.5</v>
      </c>
      <c r="L554" s="69">
        <f t="shared" si="214"/>
        <v>0</v>
      </c>
      <c r="M554" s="69">
        <f t="shared" si="214"/>
        <v>9251.5</v>
      </c>
      <c r="N554" s="69">
        <f t="shared" si="214"/>
        <v>9777.2000000000007</v>
      </c>
    </row>
    <row r="555" spans="1:14" s="52" customFormat="1" ht="36" x14ac:dyDescent="0.35">
      <c r="A555" s="56"/>
      <c r="B555" s="610" t="s">
        <v>359</v>
      </c>
      <c r="C555" s="68" t="s">
        <v>308</v>
      </c>
      <c r="D555" s="55" t="s">
        <v>102</v>
      </c>
      <c r="E555" s="55" t="s">
        <v>79</v>
      </c>
      <c r="F555" s="799" t="s">
        <v>77</v>
      </c>
      <c r="G555" s="800" t="s">
        <v>44</v>
      </c>
      <c r="H555" s="800" t="s">
        <v>42</v>
      </c>
      <c r="I555" s="801" t="s">
        <v>43</v>
      </c>
      <c r="J555" s="55"/>
      <c r="K555" s="69">
        <f t="shared" si="214"/>
        <v>9251.5</v>
      </c>
      <c r="L555" s="69">
        <f t="shared" si="214"/>
        <v>0</v>
      </c>
      <c r="M555" s="69">
        <f t="shared" si="214"/>
        <v>9251.5</v>
      </c>
      <c r="N555" s="69">
        <f t="shared" si="214"/>
        <v>9777.2000000000007</v>
      </c>
    </row>
    <row r="556" spans="1:14" s="163" customFormat="1" ht="36" x14ac:dyDescent="0.35">
      <c r="A556" s="56"/>
      <c r="B556" s="610" t="s">
        <v>226</v>
      </c>
      <c r="C556" s="68" t="s">
        <v>308</v>
      </c>
      <c r="D556" s="55" t="s">
        <v>102</v>
      </c>
      <c r="E556" s="55" t="s">
        <v>79</v>
      </c>
      <c r="F556" s="799" t="s">
        <v>77</v>
      </c>
      <c r="G556" s="800" t="s">
        <v>44</v>
      </c>
      <c r="H556" s="800" t="s">
        <v>61</v>
      </c>
      <c r="I556" s="801" t="s">
        <v>43</v>
      </c>
      <c r="J556" s="55"/>
      <c r="K556" s="69">
        <f>K557+K560+K563</f>
        <v>9251.5</v>
      </c>
      <c r="L556" s="69">
        <f t="shared" ref="L556" si="215">L557+L560+L563</f>
        <v>0</v>
      </c>
      <c r="M556" s="69">
        <f>M557+M560+M563</f>
        <v>9251.5</v>
      </c>
      <c r="N556" s="69">
        <f>N557+N560+N563</f>
        <v>9777.2000000000007</v>
      </c>
    </row>
    <row r="557" spans="1:14" s="163" customFormat="1" ht="252" x14ac:dyDescent="0.35">
      <c r="A557" s="56"/>
      <c r="B557" s="677" t="s">
        <v>229</v>
      </c>
      <c r="C557" s="68" t="s">
        <v>308</v>
      </c>
      <c r="D557" s="55" t="s">
        <v>102</v>
      </c>
      <c r="E557" s="55" t="s">
        <v>79</v>
      </c>
      <c r="F557" s="799" t="s">
        <v>77</v>
      </c>
      <c r="G557" s="800" t="s">
        <v>44</v>
      </c>
      <c r="H557" s="800" t="s">
        <v>61</v>
      </c>
      <c r="I557" s="801" t="s">
        <v>552</v>
      </c>
      <c r="J557" s="55"/>
      <c r="K557" s="69">
        <f>K558+K559</f>
        <v>1051.4000000000001</v>
      </c>
      <c r="L557" s="69">
        <f t="shared" ref="L557" si="216">L558+L559</f>
        <v>0</v>
      </c>
      <c r="M557" s="69">
        <f>M558+M559</f>
        <v>1051.4000000000001</v>
      </c>
      <c r="N557" s="69">
        <f>N558+N559</f>
        <v>1577.1</v>
      </c>
    </row>
    <row r="558" spans="1:14" s="163" customFormat="1" ht="108" x14ac:dyDescent="0.35">
      <c r="A558" s="56"/>
      <c r="B558" s="610" t="s">
        <v>48</v>
      </c>
      <c r="C558" s="68" t="s">
        <v>308</v>
      </c>
      <c r="D558" s="55" t="s">
        <v>102</v>
      </c>
      <c r="E558" s="55" t="s">
        <v>79</v>
      </c>
      <c r="F558" s="799" t="s">
        <v>77</v>
      </c>
      <c r="G558" s="800" t="s">
        <v>44</v>
      </c>
      <c r="H558" s="800" t="s">
        <v>61</v>
      </c>
      <c r="I558" s="801" t="s">
        <v>552</v>
      </c>
      <c r="J558" s="55" t="s">
        <v>49</v>
      </c>
      <c r="K558" s="69">
        <v>889.4</v>
      </c>
      <c r="L558" s="69">
        <f>M558-K558</f>
        <v>0</v>
      </c>
      <c r="M558" s="69">
        <v>889.4</v>
      </c>
      <c r="N558" s="69">
        <v>1415.1</v>
      </c>
    </row>
    <row r="559" spans="1:14" s="163" customFormat="1" ht="54" x14ac:dyDescent="0.35">
      <c r="A559" s="56"/>
      <c r="B559" s="610" t="s">
        <v>53</v>
      </c>
      <c r="C559" s="68" t="s">
        <v>308</v>
      </c>
      <c r="D559" s="55" t="s">
        <v>102</v>
      </c>
      <c r="E559" s="55" t="s">
        <v>79</v>
      </c>
      <c r="F559" s="799" t="s">
        <v>77</v>
      </c>
      <c r="G559" s="800" t="s">
        <v>44</v>
      </c>
      <c r="H559" s="800" t="s">
        <v>61</v>
      </c>
      <c r="I559" s="801" t="s">
        <v>552</v>
      </c>
      <c r="J559" s="55" t="s">
        <v>54</v>
      </c>
      <c r="K559" s="69">
        <v>162</v>
      </c>
      <c r="L559" s="69">
        <f>M559-K559</f>
        <v>0</v>
      </c>
      <c r="M559" s="69">
        <v>162</v>
      </c>
      <c r="N559" s="69">
        <v>162</v>
      </c>
    </row>
    <row r="560" spans="1:14" s="163" customFormat="1" ht="108" x14ac:dyDescent="0.35">
      <c r="A560" s="56"/>
      <c r="B560" s="610" t="s">
        <v>479</v>
      </c>
      <c r="C560" s="68" t="s">
        <v>308</v>
      </c>
      <c r="D560" s="55" t="s">
        <v>102</v>
      </c>
      <c r="E560" s="55" t="s">
        <v>79</v>
      </c>
      <c r="F560" s="799" t="s">
        <v>77</v>
      </c>
      <c r="G560" s="800" t="s">
        <v>44</v>
      </c>
      <c r="H560" s="800" t="s">
        <v>61</v>
      </c>
      <c r="I560" s="801" t="s">
        <v>546</v>
      </c>
      <c r="J560" s="55"/>
      <c r="K560" s="69">
        <f>K561+K562</f>
        <v>776</v>
      </c>
      <c r="L560" s="69">
        <f t="shared" ref="L560" si="217">L561+L562</f>
        <v>0</v>
      </c>
      <c r="M560" s="69">
        <f>M561+M562</f>
        <v>776</v>
      </c>
      <c r="N560" s="69">
        <f>N561+N562</f>
        <v>776</v>
      </c>
    </row>
    <row r="561" spans="1:14" s="163" customFormat="1" ht="108" x14ac:dyDescent="0.35">
      <c r="A561" s="56"/>
      <c r="B561" s="610" t="s">
        <v>48</v>
      </c>
      <c r="C561" s="68" t="s">
        <v>308</v>
      </c>
      <c r="D561" s="55" t="s">
        <v>102</v>
      </c>
      <c r="E561" s="55" t="s">
        <v>79</v>
      </c>
      <c r="F561" s="799" t="s">
        <v>77</v>
      </c>
      <c r="G561" s="800" t="s">
        <v>44</v>
      </c>
      <c r="H561" s="800" t="s">
        <v>61</v>
      </c>
      <c r="I561" s="801" t="s">
        <v>546</v>
      </c>
      <c r="J561" s="55" t="s">
        <v>49</v>
      </c>
      <c r="K561" s="69">
        <v>695</v>
      </c>
      <c r="L561" s="69">
        <f>M561-K561</f>
        <v>0</v>
      </c>
      <c r="M561" s="69">
        <v>695</v>
      </c>
      <c r="N561" s="69">
        <v>695</v>
      </c>
    </row>
    <row r="562" spans="1:14" s="163" customFormat="1" ht="54" x14ac:dyDescent="0.35">
      <c r="A562" s="56"/>
      <c r="B562" s="610" t="s">
        <v>53</v>
      </c>
      <c r="C562" s="68" t="s">
        <v>308</v>
      </c>
      <c r="D562" s="55" t="s">
        <v>102</v>
      </c>
      <c r="E562" s="55" t="s">
        <v>79</v>
      </c>
      <c r="F562" s="799" t="s">
        <v>77</v>
      </c>
      <c r="G562" s="800" t="s">
        <v>44</v>
      </c>
      <c r="H562" s="800" t="s">
        <v>61</v>
      </c>
      <c r="I562" s="801" t="s">
        <v>546</v>
      </c>
      <c r="J562" s="55" t="s">
        <v>54</v>
      </c>
      <c r="K562" s="69">
        <v>81</v>
      </c>
      <c r="L562" s="69">
        <f>M562-K562</f>
        <v>0</v>
      </c>
      <c r="M562" s="69">
        <v>81</v>
      </c>
      <c r="N562" s="69">
        <v>81</v>
      </c>
    </row>
    <row r="563" spans="1:14" s="163" customFormat="1" ht="72" x14ac:dyDescent="0.35">
      <c r="A563" s="56"/>
      <c r="B563" s="610" t="s">
        <v>228</v>
      </c>
      <c r="C563" s="68" t="s">
        <v>308</v>
      </c>
      <c r="D563" s="55" t="s">
        <v>102</v>
      </c>
      <c r="E563" s="55" t="s">
        <v>79</v>
      </c>
      <c r="F563" s="799" t="s">
        <v>77</v>
      </c>
      <c r="G563" s="800" t="s">
        <v>44</v>
      </c>
      <c r="H563" s="800" t="s">
        <v>61</v>
      </c>
      <c r="I563" s="801" t="s">
        <v>547</v>
      </c>
      <c r="J563" s="55"/>
      <c r="K563" s="69">
        <f>K564+K565</f>
        <v>7424.1</v>
      </c>
      <c r="L563" s="69">
        <f t="shared" ref="L563" si="218">L564+L565</f>
        <v>0</v>
      </c>
      <c r="M563" s="69">
        <f>M564+M565</f>
        <v>7424.1</v>
      </c>
      <c r="N563" s="69">
        <f>N564+N565</f>
        <v>7424.1</v>
      </c>
    </row>
    <row r="564" spans="1:14" s="163" customFormat="1" ht="108" x14ac:dyDescent="0.35">
      <c r="A564" s="56"/>
      <c r="B564" s="610" t="s">
        <v>48</v>
      </c>
      <c r="C564" s="68" t="s">
        <v>308</v>
      </c>
      <c r="D564" s="55" t="s">
        <v>102</v>
      </c>
      <c r="E564" s="55" t="s">
        <v>79</v>
      </c>
      <c r="F564" s="799" t="s">
        <v>77</v>
      </c>
      <c r="G564" s="800" t="s">
        <v>44</v>
      </c>
      <c r="H564" s="800" t="s">
        <v>61</v>
      </c>
      <c r="I564" s="801" t="s">
        <v>547</v>
      </c>
      <c r="J564" s="55" t="s">
        <v>49</v>
      </c>
      <c r="K564" s="69">
        <v>6695.1</v>
      </c>
      <c r="L564" s="69">
        <f>M564-K564</f>
        <v>0</v>
      </c>
      <c r="M564" s="69">
        <v>6695.1</v>
      </c>
      <c r="N564" s="69">
        <v>6695.1</v>
      </c>
    </row>
    <row r="565" spans="1:14" s="163" customFormat="1" ht="54" x14ac:dyDescent="0.35">
      <c r="A565" s="56"/>
      <c r="B565" s="610" t="s">
        <v>53</v>
      </c>
      <c r="C565" s="68" t="s">
        <v>308</v>
      </c>
      <c r="D565" s="55" t="s">
        <v>102</v>
      </c>
      <c r="E565" s="55" t="s">
        <v>79</v>
      </c>
      <c r="F565" s="534" t="s">
        <v>77</v>
      </c>
      <c r="G565" s="535" t="s">
        <v>44</v>
      </c>
      <c r="H565" s="535" t="s">
        <v>61</v>
      </c>
      <c r="I565" s="536" t="s">
        <v>547</v>
      </c>
      <c r="J565" s="55" t="s">
        <v>54</v>
      </c>
      <c r="K565" s="69">
        <v>729</v>
      </c>
      <c r="L565" s="69">
        <f>M565-K565</f>
        <v>0</v>
      </c>
      <c r="M565" s="69">
        <v>729</v>
      </c>
      <c r="N565" s="69">
        <v>729</v>
      </c>
    </row>
    <row r="566" spans="1:14" s="163" customFormat="1" ht="18" x14ac:dyDescent="0.35">
      <c r="A566" s="162">
        <v>10</v>
      </c>
      <c r="B566" s="688" t="s">
        <v>382</v>
      </c>
      <c r="C566" s="68"/>
      <c r="D566" s="55"/>
      <c r="E566" s="55"/>
      <c r="F566" s="800"/>
      <c r="G566" s="800"/>
      <c r="H566" s="800"/>
      <c r="I566" s="801"/>
      <c r="J566" s="55"/>
      <c r="K566" s="77">
        <f>K567</f>
        <v>44098.7</v>
      </c>
      <c r="L566" s="77">
        <f t="shared" ref="L566" si="219">L567</f>
        <v>0</v>
      </c>
      <c r="M566" s="77">
        <f>M567</f>
        <v>44098.7</v>
      </c>
      <c r="N566" s="77">
        <f>N567</f>
        <v>93440.1</v>
      </c>
    </row>
    <row r="567" spans="1:14" s="163" customFormat="1" ht="18" x14ac:dyDescent="0.35">
      <c r="A567" s="56"/>
      <c r="B567" s="689" t="s">
        <v>382</v>
      </c>
      <c r="C567" s="68"/>
      <c r="D567" s="55"/>
      <c r="E567" s="55"/>
      <c r="F567" s="800"/>
      <c r="G567" s="800"/>
      <c r="H567" s="800"/>
      <c r="I567" s="801"/>
      <c r="J567" s="55"/>
      <c r="K567" s="69">
        <f>46671.2+843.1-176.7-3013.5-7.3-14.6-44.8-11.2-22.4-125.1</f>
        <v>44098.7</v>
      </c>
      <c r="L567" s="69">
        <f>M567-K567</f>
        <v>0</v>
      </c>
      <c r="M567" s="69">
        <f>46671.2+843.1-176.7-3013.5-7.3-14.6-44.8-11.2-22.4-125.1</f>
        <v>44098.7</v>
      </c>
      <c r="N567" s="69">
        <f>95890.3+1059-176.7-3013.5-7.3-14.6-44.8-11.2-22.4-218.7</f>
        <v>93440.1</v>
      </c>
    </row>
    <row r="568" spans="1:14" ht="12" customHeight="1" x14ac:dyDescent="0.3"/>
    <row r="569" spans="1:14" ht="7.95" customHeight="1" x14ac:dyDescent="0.3"/>
    <row r="570" spans="1:14" s="125" customFormat="1" ht="18" x14ac:dyDescent="0.35">
      <c r="A570" s="545" t="s">
        <v>396</v>
      </c>
      <c r="B570" s="126"/>
      <c r="C570" s="127"/>
      <c r="D570" s="127"/>
      <c r="E570" s="127"/>
      <c r="F570" s="87"/>
      <c r="G570" s="155"/>
      <c r="H570" s="196"/>
    </row>
    <row r="571" spans="1:14" s="125" customFormat="1" ht="18" x14ac:dyDescent="0.35">
      <c r="A571" s="545" t="s">
        <v>397</v>
      </c>
      <c r="B571" s="126"/>
      <c r="C571" s="127"/>
      <c r="D571" s="127"/>
      <c r="E571" s="127"/>
      <c r="F571" s="87"/>
      <c r="G571" s="155"/>
      <c r="H571" s="196"/>
    </row>
    <row r="572" spans="1:14" s="125" customFormat="1" ht="18" x14ac:dyDescent="0.35">
      <c r="A572" s="735" t="s">
        <v>398</v>
      </c>
      <c r="B572" s="126"/>
      <c r="D572" s="127"/>
      <c r="E572" s="127"/>
      <c r="F572" s="87"/>
      <c r="N572" s="158" t="s">
        <v>409</v>
      </c>
    </row>
    <row r="573" spans="1:14" s="197" customFormat="1" ht="15.6" x14ac:dyDescent="0.3">
      <c r="M573" s="198"/>
      <c r="N573" s="198"/>
    </row>
    <row r="574" spans="1:14" ht="15.6" hidden="1" x14ac:dyDescent="0.3">
      <c r="B574" s="197" t="s">
        <v>383</v>
      </c>
      <c r="M574" s="728">
        <f>(M13-('прил. 1 (поступл.24-26)'!D35+'прил. 1 (поступл.24-26)'!D36))*2.5%</f>
        <v>23335.5975</v>
      </c>
      <c r="N574" s="728">
        <f>(N13-('прил. 1 (поступл.24-26)'!E35+'прил. 1 (поступл.24-26)'!E36))*5%</f>
        <v>47945.150000000016</v>
      </c>
    </row>
    <row r="575" spans="1:14" ht="18" hidden="1" x14ac:dyDescent="0.35">
      <c r="D575" s="73" t="s">
        <v>36</v>
      </c>
      <c r="E575" s="73" t="s">
        <v>38</v>
      </c>
      <c r="F575" s="74"/>
      <c r="G575" s="74"/>
      <c r="H575" s="74"/>
      <c r="I575" s="74"/>
      <c r="J575" s="74"/>
      <c r="K575" s="74"/>
      <c r="L575" s="74"/>
      <c r="M575" s="199">
        <f>M16</f>
        <v>2716.7</v>
      </c>
      <c r="N575" s="199">
        <f>N16</f>
        <v>2716.7</v>
      </c>
    </row>
    <row r="576" spans="1:14" ht="18" hidden="1" x14ac:dyDescent="0.35">
      <c r="D576" s="73" t="s">
        <v>36</v>
      </c>
      <c r="E576" s="73" t="s">
        <v>50</v>
      </c>
      <c r="F576" s="74"/>
      <c r="G576" s="74"/>
      <c r="H576" s="74"/>
      <c r="I576" s="74"/>
      <c r="J576" s="74"/>
      <c r="K576" s="74"/>
      <c r="L576" s="74"/>
      <c r="M576" s="199">
        <f>M22</f>
        <v>87889.5</v>
      </c>
      <c r="N576" s="199">
        <f>N22</f>
        <v>87889.5</v>
      </c>
    </row>
    <row r="577" spans="4:14" ht="18" hidden="1" x14ac:dyDescent="0.35">
      <c r="D577" s="73" t="s">
        <v>36</v>
      </c>
      <c r="E577" s="73" t="s">
        <v>63</v>
      </c>
      <c r="F577" s="74"/>
      <c r="G577" s="74"/>
      <c r="H577" s="74"/>
      <c r="I577" s="74"/>
      <c r="J577" s="74"/>
      <c r="K577" s="74"/>
      <c r="L577" s="74"/>
      <c r="M577" s="199">
        <f>M40</f>
        <v>8.9</v>
      </c>
      <c r="N577" s="199">
        <f>N40</f>
        <v>85.9</v>
      </c>
    </row>
    <row r="578" spans="4:14" ht="18" hidden="1" x14ac:dyDescent="0.35">
      <c r="D578" s="73" t="s">
        <v>36</v>
      </c>
      <c r="E578" s="73" t="s">
        <v>79</v>
      </c>
      <c r="F578" s="74"/>
      <c r="G578" s="74"/>
      <c r="H578" s="74"/>
      <c r="I578" s="74"/>
      <c r="J578" s="74"/>
      <c r="K578" s="74"/>
      <c r="L578" s="74"/>
      <c r="M578" s="199">
        <f>M163+M197</f>
        <v>40609.699999999997</v>
      </c>
      <c r="N578" s="199">
        <f>N163+N197</f>
        <v>40610.600000000006</v>
      </c>
    </row>
    <row r="579" spans="4:14" ht="18" hidden="1" x14ac:dyDescent="0.35">
      <c r="D579" s="73" t="s">
        <v>36</v>
      </c>
      <c r="E579" s="73" t="s">
        <v>65</v>
      </c>
      <c r="F579" s="74"/>
      <c r="G579" s="74"/>
      <c r="H579" s="74"/>
      <c r="I579" s="74"/>
      <c r="J579" s="74"/>
      <c r="K579" s="74"/>
      <c r="L579" s="74"/>
      <c r="M579" s="199">
        <f>M46</f>
        <v>25000</v>
      </c>
      <c r="N579" s="199">
        <f>N46</f>
        <v>15000</v>
      </c>
    </row>
    <row r="580" spans="4:14" ht="18" hidden="1" x14ac:dyDescent="0.35">
      <c r="D580" s="73" t="s">
        <v>36</v>
      </c>
      <c r="E580" s="73" t="s">
        <v>69</v>
      </c>
      <c r="F580" s="74"/>
      <c r="G580" s="74"/>
      <c r="H580" s="74"/>
      <c r="I580" s="74"/>
      <c r="J580" s="74"/>
      <c r="K580" s="74"/>
      <c r="L580" s="74"/>
      <c r="M580" s="199">
        <f>M207+M171+M503+M51+M395+M451+M266</f>
        <v>98840.025299999994</v>
      </c>
      <c r="N580" s="199">
        <f>N207+N171+N503+N51+N395+N451+N266</f>
        <v>99685.705900000001</v>
      </c>
    </row>
    <row r="581" spans="4:14" ht="18" hidden="1" x14ac:dyDescent="0.35">
      <c r="D581" s="200" t="s">
        <v>36</v>
      </c>
      <c r="E581" s="200" t="s">
        <v>42</v>
      </c>
      <c r="F581" s="74"/>
      <c r="G581" s="74"/>
      <c r="H581" s="74"/>
      <c r="I581" s="74"/>
      <c r="J581" s="74"/>
      <c r="K581" s="74"/>
      <c r="L581" s="74"/>
      <c r="M581" s="201">
        <f>SUBTOTAL(9,M575:M580)</f>
        <v>255064.82529999997</v>
      </c>
      <c r="N581" s="201">
        <f>SUBTOTAL(9,N575:N580)</f>
        <v>245988.40590000001</v>
      </c>
    </row>
    <row r="582" spans="4:14" ht="18" hidden="1" x14ac:dyDescent="0.35">
      <c r="D582" s="73"/>
      <c r="E582" s="73"/>
      <c r="F582" s="74"/>
      <c r="G582" s="74"/>
      <c r="H582" s="74"/>
      <c r="I582" s="74"/>
      <c r="J582" s="74"/>
      <c r="K582" s="74"/>
      <c r="L582" s="74"/>
      <c r="M582" s="199"/>
      <c r="N582" s="199"/>
    </row>
    <row r="583" spans="4:14" ht="18" hidden="1" x14ac:dyDescent="0.35">
      <c r="D583" s="73" t="s">
        <v>61</v>
      </c>
      <c r="E583" s="73" t="s">
        <v>102</v>
      </c>
      <c r="F583" s="74"/>
      <c r="G583" s="74"/>
      <c r="H583" s="74"/>
      <c r="I583" s="74"/>
      <c r="J583" s="74"/>
      <c r="K583" s="74"/>
      <c r="L583" s="74"/>
      <c r="M583" s="199">
        <f>M82</f>
        <v>362.29999999999995</v>
      </c>
      <c r="N583" s="199">
        <f>N82</f>
        <v>362.29999999999995</v>
      </c>
    </row>
    <row r="584" spans="4:14" ht="18" hidden="1" x14ac:dyDescent="0.35">
      <c r="D584" s="73" t="s">
        <v>61</v>
      </c>
      <c r="E584" s="73" t="s">
        <v>86</v>
      </c>
      <c r="F584" s="74"/>
      <c r="G584" s="74"/>
      <c r="H584" s="74"/>
      <c r="I584" s="74"/>
      <c r="J584" s="74"/>
      <c r="K584" s="74"/>
      <c r="L584" s="74"/>
      <c r="M584" s="199">
        <f>M90</f>
        <v>14427.800000000001</v>
      </c>
      <c r="N584" s="199">
        <f>N90</f>
        <v>14428.300000000001</v>
      </c>
    </row>
    <row r="585" spans="4:14" ht="18" hidden="1" x14ac:dyDescent="0.35">
      <c r="D585" s="200" t="s">
        <v>61</v>
      </c>
      <c r="E585" s="200" t="s">
        <v>42</v>
      </c>
      <c r="F585" s="74"/>
      <c r="G585" s="74"/>
      <c r="H585" s="74"/>
      <c r="I585" s="74"/>
      <c r="J585" s="74"/>
      <c r="K585" s="74"/>
      <c r="L585" s="74"/>
      <c r="M585" s="201">
        <f>SUBTOTAL(9,M583:M584)</f>
        <v>14790.1</v>
      </c>
      <c r="N585" s="201">
        <f>SUBTOTAL(9,N583:N584)</f>
        <v>14790.6</v>
      </c>
    </row>
    <row r="586" spans="4:14" ht="18" hidden="1" x14ac:dyDescent="0.35">
      <c r="D586" s="73"/>
      <c r="E586" s="73"/>
      <c r="F586" s="74"/>
      <c r="G586" s="74"/>
      <c r="H586" s="74"/>
      <c r="I586" s="74"/>
      <c r="J586" s="74"/>
      <c r="K586" s="74"/>
      <c r="L586" s="74"/>
      <c r="M586" s="199"/>
      <c r="N586" s="199"/>
    </row>
    <row r="587" spans="4:14" ht="18" hidden="1" x14ac:dyDescent="0.35">
      <c r="D587" s="73" t="s">
        <v>50</v>
      </c>
      <c r="E587" s="73" t="s">
        <v>63</v>
      </c>
      <c r="F587" s="74"/>
      <c r="G587" s="74"/>
      <c r="H587" s="74"/>
      <c r="I587" s="74"/>
      <c r="J587" s="74"/>
      <c r="K587" s="74"/>
      <c r="L587" s="74"/>
      <c r="M587" s="199">
        <f>M110</f>
        <v>24038.799999999999</v>
      </c>
      <c r="N587" s="199">
        <f>N110</f>
        <v>24170.7</v>
      </c>
    </row>
    <row r="588" spans="4:14" ht="18" hidden="1" x14ac:dyDescent="0.35">
      <c r="D588" s="73" t="s">
        <v>50</v>
      </c>
      <c r="E588" s="73" t="s">
        <v>77</v>
      </c>
      <c r="F588" s="74"/>
      <c r="G588" s="74"/>
      <c r="H588" s="74"/>
      <c r="I588" s="74"/>
      <c r="J588" s="74"/>
      <c r="K588" s="74"/>
      <c r="L588" s="74"/>
      <c r="M588" s="199">
        <f>M119</f>
        <v>7183.4</v>
      </c>
      <c r="N588" s="199">
        <f>N119</f>
        <v>7472.6</v>
      </c>
    </row>
    <row r="589" spans="4:14" ht="18" hidden="1" x14ac:dyDescent="0.35">
      <c r="D589" s="73" t="s">
        <v>50</v>
      </c>
      <c r="E589" s="73" t="s">
        <v>98</v>
      </c>
      <c r="F589" s="74"/>
      <c r="G589" s="74"/>
      <c r="H589" s="74"/>
      <c r="I589" s="74"/>
      <c r="J589" s="74"/>
      <c r="K589" s="74"/>
      <c r="L589" s="74"/>
      <c r="M589" s="199">
        <f>M125</f>
        <v>1126.0999999999999</v>
      </c>
      <c r="N589" s="199">
        <f>N125</f>
        <v>1126.0999999999999</v>
      </c>
    </row>
    <row r="590" spans="4:14" ht="18" hidden="1" x14ac:dyDescent="0.35">
      <c r="D590" s="200" t="s">
        <v>50</v>
      </c>
      <c r="E590" s="200" t="s">
        <v>42</v>
      </c>
      <c r="F590" s="74"/>
      <c r="G590" s="74"/>
      <c r="H590" s="74"/>
      <c r="I590" s="74"/>
      <c r="J590" s="74"/>
      <c r="K590" s="74"/>
      <c r="L590" s="74"/>
      <c r="M590" s="201">
        <f>SUBTOTAL(9,M587:M589)</f>
        <v>32348.299999999996</v>
      </c>
      <c r="N590" s="201">
        <f>SUBTOTAL(9,N587:N589)</f>
        <v>32769.4</v>
      </c>
    </row>
    <row r="591" spans="4:14" ht="18" hidden="1" x14ac:dyDescent="0.35">
      <c r="D591" s="73"/>
      <c r="E591" s="73"/>
      <c r="F591" s="74"/>
      <c r="G591" s="74"/>
      <c r="H591" s="74"/>
      <c r="I591" s="74"/>
      <c r="J591" s="74"/>
      <c r="K591" s="74"/>
      <c r="L591" s="74"/>
      <c r="M591" s="199"/>
      <c r="N591" s="199"/>
    </row>
    <row r="592" spans="4:14" ht="18" hidden="1" x14ac:dyDescent="0.35">
      <c r="D592" s="73" t="s">
        <v>63</v>
      </c>
      <c r="E592" s="73" t="s">
        <v>36</v>
      </c>
      <c r="F592" s="74"/>
      <c r="G592" s="74"/>
      <c r="H592" s="74"/>
      <c r="I592" s="74"/>
      <c r="J592" s="74"/>
      <c r="K592" s="74"/>
      <c r="L592" s="74"/>
      <c r="M592" s="199"/>
      <c r="N592" s="199"/>
    </row>
    <row r="593" spans="4:14" ht="18" hidden="1" x14ac:dyDescent="0.35">
      <c r="D593" s="73" t="s">
        <v>63</v>
      </c>
      <c r="E593" s="73" t="s">
        <v>38</v>
      </c>
      <c r="F593" s="74"/>
      <c r="G593" s="74"/>
      <c r="H593" s="74"/>
      <c r="I593" s="74"/>
      <c r="J593" s="74"/>
      <c r="K593" s="74"/>
      <c r="L593" s="74"/>
      <c r="M593" s="199"/>
      <c r="N593" s="199"/>
    </row>
    <row r="594" spans="4:14" ht="18" hidden="1" x14ac:dyDescent="0.35">
      <c r="D594" s="73" t="s">
        <v>63</v>
      </c>
      <c r="E594" s="73" t="s">
        <v>61</v>
      </c>
      <c r="F594" s="74"/>
      <c r="G594" s="74"/>
      <c r="H594" s="74"/>
      <c r="I594" s="74"/>
      <c r="J594" s="74"/>
      <c r="K594" s="74"/>
      <c r="L594" s="74"/>
      <c r="M594" s="199"/>
      <c r="N594" s="199"/>
    </row>
    <row r="595" spans="4:14" ht="18" hidden="1" x14ac:dyDescent="0.35">
      <c r="D595" s="200" t="s">
        <v>63</v>
      </c>
      <c r="E595" s="200" t="s">
        <v>42</v>
      </c>
      <c r="F595" s="74"/>
      <c r="G595" s="74"/>
      <c r="H595" s="74"/>
      <c r="I595" s="74"/>
      <c r="J595" s="74"/>
      <c r="K595" s="74"/>
      <c r="L595" s="74"/>
      <c r="M595" s="201">
        <f>SUBTOTAL(9,M592:M594)</f>
        <v>0</v>
      </c>
      <c r="N595" s="201">
        <f>SUBTOTAL(9,N592:N594)</f>
        <v>0</v>
      </c>
    </row>
    <row r="596" spans="4:14" ht="18" hidden="1" x14ac:dyDescent="0.35">
      <c r="D596" s="73"/>
      <c r="E596" s="73"/>
      <c r="F596" s="74"/>
      <c r="G596" s="74"/>
      <c r="H596" s="74"/>
      <c r="I596" s="74"/>
      <c r="J596" s="74"/>
      <c r="K596" s="74"/>
      <c r="L596" s="74"/>
      <c r="M596" s="199"/>
      <c r="N596" s="199"/>
    </row>
    <row r="597" spans="4:14" ht="18" hidden="1" x14ac:dyDescent="0.35">
      <c r="D597" s="73" t="s">
        <v>221</v>
      </c>
      <c r="E597" s="73" t="s">
        <v>36</v>
      </c>
      <c r="F597" s="74"/>
      <c r="G597" s="74"/>
      <c r="H597" s="74"/>
      <c r="I597" s="74"/>
      <c r="J597" s="74"/>
      <c r="K597" s="74"/>
      <c r="L597" s="74"/>
      <c r="M597" s="199">
        <f>M279+M242</f>
        <v>438087.69999999995</v>
      </c>
      <c r="N597" s="199">
        <f>N279+N242</f>
        <v>448407.1</v>
      </c>
    </row>
    <row r="598" spans="4:14" ht="18" hidden="1" x14ac:dyDescent="0.35">
      <c r="D598" s="73" t="s">
        <v>221</v>
      </c>
      <c r="E598" s="73" t="s">
        <v>38</v>
      </c>
      <c r="F598" s="74"/>
      <c r="G598" s="74"/>
      <c r="H598" s="74"/>
      <c r="I598" s="74"/>
      <c r="J598" s="74"/>
      <c r="K598" s="74"/>
      <c r="L598" s="74"/>
      <c r="M598" s="199">
        <f>M291+M248</f>
        <v>787496.89999999991</v>
      </c>
      <c r="N598" s="199">
        <f>N291+N248</f>
        <v>807394.70000000007</v>
      </c>
    </row>
    <row r="599" spans="4:14" ht="18" hidden="1" x14ac:dyDescent="0.35">
      <c r="D599" s="73" t="s">
        <v>221</v>
      </c>
      <c r="E599" s="73" t="s">
        <v>61</v>
      </c>
      <c r="F599" s="74"/>
      <c r="G599" s="74"/>
      <c r="H599" s="74"/>
      <c r="I599" s="74"/>
      <c r="J599" s="74"/>
      <c r="K599" s="74"/>
      <c r="L599" s="74"/>
      <c r="M599" s="199">
        <f>M337+M402</f>
        <v>136274.90000000002</v>
      </c>
      <c r="N599" s="199">
        <f>N337+N402</f>
        <v>135431.1</v>
      </c>
    </row>
    <row r="600" spans="4:14" ht="18" hidden="1" x14ac:dyDescent="0.35">
      <c r="D600" s="73" t="s">
        <v>221</v>
      </c>
      <c r="E600" s="73" t="s">
        <v>63</v>
      </c>
      <c r="F600" s="74"/>
      <c r="G600" s="74"/>
      <c r="H600" s="74"/>
      <c r="I600" s="74"/>
      <c r="J600" s="74"/>
      <c r="K600" s="74"/>
      <c r="L600" s="74"/>
      <c r="M600" s="199">
        <f>M141+M181</f>
        <v>179.89999999999998</v>
      </c>
      <c r="N600" s="199">
        <f>N141+N181</f>
        <v>179.89999999999998</v>
      </c>
    </row>
    <row r="601" spans="4:14" ht="18" hidden="1" x14ac:dyDescent="0.35">
      <c r="D601" s="73" t="s">
        <v>221</v>
      </c>
      <c r="E601" s="73" t="s">
        <v>221</v>
      </c>
      <c r="F601" s="74"/>
      <c r="G601" s="74"/>
      <c r="H601" s="74"/>
      <c r="I601" s="74"/>
      <c r="J601" s="74"/>
      <c r="K601" s="74"/>
      <c r="L601" s="74"/>
      <c r="M601" s="199">
        <f>M516</f>
        <v>4526.8999999999996</v>
      </c>
      <c r="N601" s="199">
        <f>N516</f>
        <v>4526.8999999999996</v>
      </c>
    </row>
    <row r="602" spans="4:14" ht="18" hidden="1" x14ac:dyDescent="0.35">
      <c r="D602" s="73" t="s">
        <v>221</v>
      </c>
      <c r="E602" s="73" t="s">
        <v>77</v>
      </c>
      <c r="F602" s="74"/>
      <c r="G602" s="74"/>
      <c r="H602" s="74"/>
      <c r="I602" s="74"/>
      <c r="J602" s="74"/>
      <c r="K602" s="74"/>
      <c r="L602" s="74"/>
      <c r="M602" s="199">
        <f>M354+M410+M524</f>
        <v>96840.200000000012</v>
      </c>
      <c r="N602" s="199">
        <f>N354+N410+N524</f>
        <v>97497.600000000006</v>
      </c>
    </row>
    <row r="603" spans="4:14" ht="18" hidden="1" x14ac:dyDescent="0.35">
      <c r="D603" s="200" t="s">
        <v>221</v>
      </c>
      <c r="E603" s="200" t="s">
        <v>42</v>
      </c>
      <c r="F603" s="74"/>
      <c r="G603" s="74"/>
      <c r="H603" s="74"/>
      <c r="I603" s="74"/>
      <c r="J603" s="74"/>
      <c r="K603" s="74"/>
      <c r="L603" s="74"/>
      <c r="M603" s="201">
        <f>SUBTOTAL(9,M597:M602)</f>
        <v>1463406.4999999998</v>
      </c>
      <c r="N603" s="201">
        <f>SUBTOTAL(9,N597:N602)</f>
        <v>1493437.3</v>
      </c>
    </row>
    <row r="604" spans="4:14" ht="18" hidden="1" x14ac:dyDescent="0.35">
      <c r="D604" s="73"/>
      <c r="E604" s="73"/>
      <c r="F604" s="74"/>
      <c r="G604" s="74"/>
      <c r="H604" s="74"/>
      <c r="I604" s="74"/>
      <c r="J604" s="74"/>
      <c r="K604" s="74"/>
      <c r="L604" s="74"/>
      <c r="M604" s="199"/>
      <c r="N604" s="199"/>
    </row>
    <row r="605" spans="4:14" ht="18" hidden="1" x14ac:dyDescent="0.35">
      <c r="D605" s="73" t="s">
        <v>223</v>
      </c>
      <c r="E605" s="73" t="s">
        <v>36</v>
      </c>
      <c r="F605" s="74"/>
      <c r="G605" s="74"/>
      <c r="H605" s="74"/>
      <c r="I605" s="74"/>
      <c r="J605" s="74"/>
      <c r="K605" s="74"/>
      <c r="L605" s="74"/>
      <c r="M605" s="199">
        <f>M417</f>
        <v>32058.3</v>
      </c>
      <c r="N605" s="199">
        <f>N417</f>
        <v>32037.599999999999</v>
      </c>
    </row>
    <row r="606" spans="4:14" ht="18" hidden="1" x14ac:dyDescent="0.35">
      <c r="D606" s="73" t="s">
        <v>223</v>
      </c>
      <c r="E606" s="73" t="s">
        <v>50</v>
      </c>
      <c r="F606" s="74"/>
      <c r="G606" s="74"/>
      <c r="H606" s="74"/>
      <c r="I606" s="74"/>
      <c r="J606" s="74"/>
      <c r="K606" s="74"/>
      <c r="L606" s="74"/>
      <c r="M606" s="199">
        <f>M436</f>
        <v>12154.7</v>
      </c>
      <c r="N606" s="199">
        <f>N436</f>
        <v>12159.400000000001</v>
      </c>
    </row>
    <row r="607" spans="4:14" ht="18" hidden="1" x14ac:dyDescent="0.35">
      <c r="D607" s="200" t="s">
        <v>223</v>
      </c>
      <c r="E607" s="200" t="s">
        <v>42</v>
      </c>
      <c r="F607" s="74"/>
      <c r="G607" s="74"/>
      <c r="H607" s="74"/>
      <c r="I607" s="74"/>
      <c r="J607" s="74"/>
      <c r="K607" s="74"/>
      <c r="L607" s="74"/>
      <c r="M607" s="201">
        <f>SUBTOTAL(9,M605:M606)</f>
        <v>44213</v>
      </c>
      <c r="N607" s="201">
        <f>SUBTOTAL(9,N605:N606)</f>
        <v>44197</v>
      </c>
    </row>
    <row r="608" spans="4:14" ht="18" hidden="1" x14ac:dyDescent="0.35">
      <c r="D608" s="73"/>
      <c r="E608" s="73"/>
      <c r="F608" s="74"/>
      <c r="G608" s="74"/>
      <c r="H608" s="74"/>
      <c r="I608" s="74"/>
      <c r="J608" s="74"/>
      <c r="K608" s="74"/>
      <c r="L608" s="74"/>
      <c r="M608" s="199"/>
      <c r="N608" s="199"/>
    </row>
    <row r="609" spans="4:14" ht="18" hidden="1" x14ac:dyDescent="0.35">
      <c r="D609" s="73" t="s">
        <v>102</v>
      </c>
      <c r="E609" s="73" t="s">
        <v>36</v>
      </c>
      <c r="F609" s="74"/>
      <c r="G609" s="74"/>
      <c r="H609" s="74"/>
      <c r="I609" s="74"/>
      <c r="J609" s="74"/>
      <c r="K609" s="74"/>
      <c r="L609" s="74"/>
      <c r="M609" s="199">
        <f>M148</f>
        <v>1500</v>
      </c>
      <c r="N609" s="199">
        <f>N148</f>
        <v>1500</v>
      </c>
    </row>
    <row r="610" spans="4:14" ht="18" hidden="1" x14ac:dyDescent="0.35">
      <c r="D610" s="73" t="s">
        <v>102</v>
      </c>
      <c r="E610" s="73" t="s">
        <v>50</v>
      </c>
      <c r="F610" s="74"/>
      <c r="G610" s="74"/>
      <c r="H610" s="74"/>
      <c r="I610" s="74"/>
      <c r="J610" s="74"/>
      <c r="K610" s="74"/>
      <c r="L610" s="74"/>
      <c r="M610" s="199">
        <f>M255+M374+M535</f>
        <v>137301.5747</v>
      </c>
      <c r="N610" s="199">
        <f>N255+N374+N535</f>
        <v>136049.99409999998</v>
      </c>
    </row>
    <row r="611" spans="4:14" ht="18" hidden="1" x14ac:dyDescent="0.35">
      <c r="D611" s="73" t="s">
        <v>102</v>
      </c>
      <c r="E611" s="73" t="s">
        <v>79</v>
      </c>
      <c r="F611" s="74"/>
      <c r="G611" s="74"/>
      <c r="H611" s="74"/>
      <c r="I611" s="74"/>
      <c r="J611" s="74"/>
      <c r="K611" s="74"/>
      <c r="L611" s="74"/>
      <c r="M611" s="199">
        <f>M553+M154</f>
        <v>10519.4</v>
      </c>
      <c r="N611" s="199">
        <f>N553+N154</f>
        <v>11045.1</v>
      </c>
    </row>
    <row r="612" spans="4:14" ht="18" hidden="1" x14ac:dyDescent="0.35">
      <c r="D612" s="200" t="s">
        <v>102</v>
      </c>
      <c r="E612" s="200" t="s">
        <v>42</v>
      </c>
      <c r="F612" s="74"/>
      <c r="G612" s="74"/>
      <c r="H612" s="74"/>
      <c r="I612" s="74"/>
      <c r="J612" s="74"/>
      <c r="K612" s="74"/>
      <c r="L612" s="74"/>
      <c r="M612" s="201">
        <f>SUBTOTAL(9,M609:M611)</f>
        <v>149320.97469999999</v>
      </c>
      <c r="N612" s="201">
        <f>SUBTOTAL(9,N609:N611)</f>
        <v>148595.09409999999</v>
      </c>
    </row>
    <row r="613" spans="4:14" ht="18" hidden="1" x14ac:dyDescent="0.35">
      <c r="D613" s="73"/>
      <c r="E613" s="73"/>
      <c r="F613" s="74"/>
      <c r="G613" s="74"/>
      <c r="H613" s="74"/>
      <c r="I613" s="74"/>
      <c r="J613" s="74"/>
      <c r="K613" s="74"/>
      <c r="L613" s="74"/>
      <c r="M613" s="199"/>
      <c r="N613" s="199"/>
    </row>
    <row r="614" spans="4:14" ht="18" hidden="1" x14ac:dyDescent="0.35">
      <c r="D614" s="73" t="s">
        <v>65</v>
      </c>
      <c r="E614" s="73" t="s">
        <v>36</v>
      </c>
      <c r="F614" s="74"/>
      <c r="G614" s="74"/>
      <c r="H614" s="74"/>
      <c r="I614" s="74"/>
      <c r="J614" s="74"/>
      <c r="K614" s="74"/>
      <c r="L614" s="74"/>
      <c r="M614" s="199">
        <f>M458</f>
        <v>4767.8999999999996</v>
      </c>
      <c r="N614" s="199">
        <f>N458</f>
        <v>4787.5999999999995</v>
      </c>
    </row>
    <row r="615" spans="4:14" ht="18" hidden="1" x14ac:dyDescent="0.35">
      <c r="D615" s="73" t="s">
        <v>65</v>
      </c>
      <c r="E615" s="73" t="s">
        <v>38</v>
      </c>
      <c r="F615" s="74"/>
      <c r="G615" s="74"/>
      <c r="H615" s="74"/>
      <c r="I615" s="74"/>
      <c r="J615" s="74"/>
      <c r="K615" s="74"/>
      <c r="L615" s="74"/>
      <c r="M615" s="199">
        <f>M468</f>
        <v>910.6</v>
      </c>
      <c r="N615" s="199">
        <f>N468</f>
        <v>910.6</v>
      </c>
    </row>
    <row r="616" spans="4:14" ht="18" hidden="1" x14ac:dyDescent="0.35">
      <c r="D616" s="73" t="s">
        <v>65</v>
      </c>
      <c r="E616" s="73" t="s">
        <v>61</v>
      </c>
      <c r="F616" s="74"/>
      <c r="G616" s="74"/>
      <c r="H616" s="74"/>
      <c r="I616" s="74"/>
      <c r="J616" s="74"/>
      <c r="K616" s="74"/>
      <c r="L616" s="74"/>
      <c r="M616" s="199">
        <f>M474+M382</f>
        <v>58459.7</v>
      </c>
      <c r="N616" s="199">
        <f>N474+N382</f>
        <v>57318</v>
      </c>
    </row>
    <row r="617" spans="4:14" ht="18" hidden="1" x14ac:dyDescent="0.35">
      <c r="D617" s="73" t="s">
        <v>65</v>
      </c>
      <c r="E617" s="73" t="s">
        <v>63</v>
      </c>
      <c r="F617" s="74"/>
      <c r="G617" s="74"/>
      <c r="H617" s="74"/>
      <c r="I617" s="74"/>
      <c r="J617" s="74"/>
      <c r="K617" s="74"/>
      <c r="L617" s="74"/>
      <c r="M617" s="199">
        <f>M492</f>
        <v>3179.7999999999997</v>
      </c>
      <c r="N617" s="199">
        <f>N492</f>
        <v>3180.9</v>
      </c>
    </row>
    <row r="618" spans="4:14" ht="18" hidden="1" x14ac:dyDescent="0.35">
      <c r="D618" s="200" t="s">
        <v>65</v>
      </c>
      <c r="E618" s="200" t="s">
        <v>42</v>
      </c>
      <c r="F618" s="74"/>
      <c r="G618" s="74"/>
      <c r="H618" s="74"/>
      <c r="I618" s="74"/>
      <c r="J618" s="74"/>
      <c r="K618" s="74"/>
      <c r="L618" s="74"/>
      <c r="M618" s="201">
        <f>SUBTOTAL(9,M614:M617)</f>
        <v>67318</v>
      </c>
      <c r="N618" s="201">
        <f>SUBTOTAL(9,N614:N617)</f>
        <v>66197.099999999991</v>
      </c>
    </row>
    <row r="619" spans="4:14" ht="18" hidden="1" x14ac:dyDescent="0.35">
      <c r="D619" s="73"/>
      <c r="E619" s="73"/>
      <c r="F619" s="74"/>
      <c r="G619" s="74"/>
      <c r="H619" s="74"/>
      <c r="I619" s="74"/>
      <c r="J619" s="74"/>
      <c r="K619" s="74"/>
      <c r="L619" s="74"/>
      <c r="M619" s="199"/>
      <c r="N619" s="199"/>
    </row>
    <row r="620" spans="4:14" ht="18" hidden="1" x14ac:dyDescent="0.35">
      <c r="D620" s="73" t="s">
        <v>69</v>
      </c>
      <c r="E620" s="73" t="s">
        <v>36</v>
      </c>
      <c r="F620" s="74"/>
      <c r="G620" s="74"/>
      <c r="H620" s="74"/>
      <c r="I620" s="74"/>
      <c r="J620" s="74"/>
      <c r="K620" s="74"/>
      <c r="L620" s="74"/>
      <c r="M620" s="199"/>
      <c r="N620" s="199"/>
    </row>
    <row r="621" spans="4:14" ht="18" hidden="1" x14ac:dyDescent="0.35">
      <c r="D621" s="200" t="s">
        <v>69</v>
      </c>
      <c r="E621" s="200" t="s">
        <v>42</v>
      </c>
      <c r="F621" s="74"/>
      <c r="G621" s="74"/>
      <c r="H621" s="74"/>
      <c r="I621" s="74"/>
      <c r="J621" s="74"/>
      <c r="K621" s="74"/>
      <c r="L621" s="74"/>
      <c r="M621" s="201">
        <f>M620</f>
        <v>0</v>
      </c>
      <c r="N621" s="201">
        <f>N620</f>
        <v>0</v>
      </c>
    </row>
    <row r="622" spans="4:14" ht="18" hidden="1" x14ac:dyDescent="0.35">
      <c r="D622" s="73"/>
      <c r="E622" s="73"/>
      <c r="F622" s="74"/>
      <c r="G622" s="74"/>
      <c r="H622" s="74"/>
      <c r="I622" s="74"/>
      <c r="J622" s="74"/>
      <c r="K622" s="74"/>
      <c r="L622" s="74"/>
      <c r="M622" s="199"/>
      <c r="N622" s="199"/>
    </row>
    <row r="623" spans="4:14" ht="18" hidden="1" x14ac:dyDescent="0.35">
      <c r="D623" s="73" t="s">
        <v>86</v>
      </c>
      <c r="E623" s="73" t="s">
        <v>36</v>
      </c>
      <c r="F623" s="74"/>
      <c r="G623" s="74"/>
      <c r="H623" s="74"/>
      <c r="I623" s="74"/>
      <c r="J623" s="74"/>
      <c r="K623" s="74"/>
      <c r="L623" s="74"/>
      <c r="M623" s="199">
        <f>M188</f>
        <v>9000</v>
      </c>
      <c r="N623" s="199">
        <f>N188</f>
        <v>9000</v>
      </c>
    </row>
    <row r="624" spans="4:14" ht="18" hidden="1" x14ac:dyDescent="0.35">
      <c r="D624" s="200" t="s">
        <v>86</v>
      </c>
      <c r="E624" s="200" t="s">
        <v>42</v>
      </c>
      <c r="F624" s="74"/>
      <c r="G624" s="74"/>
      <c r="H624" s="74"/>
      <c r="I624" s="74"/>
      <c r="J624" s="74"/>
      <c r="K624" s="74"/>
      <c r="L624" s="74"/>
      <c r="M624" s="201">
        <f>SUBTOTAL(9,M623:M623)</f>
        <v>9000</v>
      </c>
      <c r="N624" s="201">
        <f>SUBTOTAL(9,N623:N623)</f>
        <v>9000</v>
      </c>
    </row>
    <row r="625" spans="2:14" ht="18" hidden="1" x14ac:dyDescent="0.35">
      <c r="D625" s="73"/>
      <c r="E625" s="73"/>
      <c r="F625" s="74"/>
      <c r="G625" s="74"/>
      <c r="H625" s="74"/>
      <c r="I625" s="74"/>
      <c r="J625" s="74"/>
      <c r="K625" s="74"/>
      <c r="L625" s="74"/>
      <c r="M625" s="199"/>
      <c r="N625" s="199"/>
    </row>
    <row r="626" spans="2:14" ht="18" hidden="1" x14ac:dyDescent="0.35">
      <c r="D626" s="202" t="s">
        <v>384</v>
      </c>
      <c r="E626" s="73"/>
      <c r="F626" s="74"/>
      <c r="G626" s="74"/>
      <c r="H626" s="74"/>
      <c r="I626" s="74"/>
      <c r="J626" s="74"/>
      <c r="K626" s="74"/>
      <c r="L626" s="74"/>
      <c r="M626" s="199">
        <f>M566</f>
        <v>44098.7</v>
      </c>
      <c r="N626" s="199">
        <f>N566</f>
        <v>93440.1</v>
      </c>
    </row>
    <row r="627" spans="2:14" ht="18" hidden="1" x14ac:dyDescent="0.35">
      <c r="D627" s="73"/>
      <c r="E627" s="73"/>
      <c r="F627" s="74"/>
      <c r="G627" s="74"/>
      <c r="H627" s="74"/>
      <c r="I627" s="74"/>
      <c r="J627" s="74"/>
      <c r="K627" s="74"/>
      <c r="L627" s="74"/>
      <c r="M627" s="199"/>
      <c r="N627" s="199"/>
    </row>
    <row r="628" spans="2:14" ht="18" hidden="1" x14ac:dyDescent="0.35">
      <c r="D628" s="73"/>
      <c r="E628" s="73"/>
      <c r="F628" s="74"/>
      <c r="G628" s="74"/>
      <c r="H628" s="74"/>
      <c r="I628" s="74"/>
      <c r="J628" s="74"/>
      <c r="K628" s="74"/>
      <c r="L628" s="74"/>
      <c r="M628" s="201"/>
      <c r="N628" s="201"/>
    </row>
    <row r="629" spans="2:14" ht="18" hidden="1" x14ac:dyDescent="0.35">
      <c r="D629" s="73"/>
      <c r="E629" s="73"/>
      <c r="F629" s="74"/>
      <c r="G629" s="74"/>
      <c r="H629" s="74"/>
      <c r="I629" s="74"/>
      <c r="J629" s="74"/>
      <c r="K629" s="74"/>
      <c r="L629" s="74"/>
      <c r="M629" s="199"/>
      <c r="N629" s="199"/>
    </row>
    <row r="630" spans="2:14" ht="18" hidden="1" x14ac:dyDescent="0.35">
      <c r="B630" s="46" t="s">
        <v>388</v>
      </c>
      <c r="D630" s="73"/>
      <c r="E630" s="73"/>
      <c r="F630" s="74"/>
      <c r="G630" s="74"/>
      <c r="H630" s="74"/>
      <c r="I630" s="74"/>
      <c r="J630" s="74"/>
      <c r="K630" s="74"/>
      <c r="L630" s="74"/>
      <c r="M630" s="199"/>
      <c r="N630" s="199"/>
    </row>
    <row r="631" spans="2:14" ht="18" hidden="1" x14ac:dyDescent="0.35">
      <c r="B631" s="46" t="s">
        <v>387</v>
      </c>
      <c r="D631" s="73"/>
      <c r="E631" s="73"/>
      <c r="F631" s="74"/>
      <c r="G631" s="74"/>
      <c r="H631" s="74"/>
      <c r="I631" s="74"/>
      <c r="J631" s="74"/>
      <c r="K631" s="74"/>
      <c r="L631" s="74"/>
      <c r="M631" s="199"/>
      <c r="N631" s="199"/>
    </row>
    <row r="632" spans="2:14" ht="18" hidden="1" x14ac:dyDescent="0.35">
      <c r="D632" s="73"/>
      <c r="E632" s="73"/>
      <c r="F632" s="74"/>
      <c r="G632" s="74"/>
      <c r="H632" s="74"/>
      <c r="I632" s="74"/>
      <c r="J632" s="74"/>
      <c r="K632" s="74"/>
      <c r="L632" s="74"/>
      <c r="M632" s="203"/>
      <c r="N632" s="203"/>
    </row>
    <row r="633" spans="2:14" ht="18" hidden="1" x14ac:dyDescent="0.35">
      <c r="D633" s="73"/>
      <c r="E633" s="73"/>
      <c r="F633" s="74"/>
      <c r="G633" s="74"/>
      <c r="H633" s="74"/>
      <c r="I633" s="74"/>
      <c r="J633" s="74"/>
      <c r="K633" s="74"/>
      <c r="L633" s="74"/>
      <c r="M633" s="203"/>
      <c r="N633" s="203"/>
    </row>
    <row r="634" spans="2:14" x14ac:dyDescent="0.3">
      <c r="M634" s="164"/>
      <c r="N634" s="164"/>
    </row>
  </sheetData>
  <autoFilter ref="A1:N635"/>
  <mergeCells count="12">
    <mergeCell ref="F12:I12"/>
    <mergeCell ref="A6:N6"/>
    <mergeCell ref="A10:A11"/>
    <mergeCell ref="B10:B11"/>
    <mergeCell ref="C10:C11"/>
    <mergeCell ref="D10:D11"/>
    <mergeCell ref="E10:E11"/>
    <mergeCell ref="F10:I11"/>
    <mergeCell ref="J10:J11"/>
    <mergeCell ref="N10:N11"/>
    <mergeCell ref="L10:M10"/>
    <mergeCell ref="K10:K11"/>
  </mergeCells>
  <printOptions horizontalCentered="1"/>
  <pageMargins left="1.1811023622047245" right="0.39370078740157483" top="0.78740157480314965" bottom="0.78740157480314965" header="0.31496062992125984" footer="0.31496062992125984"/>
  <pageSetup paperSize="9" scale="64" fitToHeight="0" orientation="portrait" blackAndWhite="1" r:id="rId1"/>
  <headerFooter differentFirst="1">
    <oddHeader>&amp;C&amp;"Times New Roman,обычный"&amp;12&amp;P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16</vt:i4>
      </vt:variant>
      <vt:variant>
        <vt:lpstr>Именованные диапазоны</vt:lpstr>
      </vt:variant>
      <vt:variant>
        <vt:i4>24</vt:i4>
      </vt:variant>
    </vt:vector>
  </HeadingPairs>
  <TitlesOfParts>
    <vt:vector size="40" baseType="lpstr">
      <vt:lpstr>прил. 1 (поступл.24-26)</vt:lpstr>
      <vt:lpstr>прил.2(пост.безв.24)</vt:lpstr>
      <vt:lpstr>прил.3 (пост.безв.25-26)</vt:lpstr>
      <vt:lpstr>прил.4 (безв.от пос.24) </vt:lpstr>
      <vt:lpstr>прил 5 (Рз,ПР 24-26)</vt:lpstr>
      <vt:lpstr>прил 6 (ЦС,ВР 24)</vt:lpstr>
      <vt:lpstr>прил 7 (ЦС,ВР 25-26)</vt:lpstr>
      <vt:lpstr>прил8 (ведом 24)</vt:lpstr>
      <vt:lpstr>прил9 (ведом 25-26)</vt:lpstr>
      <vt:lpstr>прил.10 (Источники 24-26)</vt:lpstr>
      <vt:lpstr>прил.11 (безв.всего 23-25)</vt:lpstr>
      <vt:lpstr>прил.12 (дотация 24-26)</vt:lpstr>
      <vt:lpstr>прил.13 мун.внутр.заим.24-26)</vt:lpstr>
      <vt:lpstr>прил.14(гар. 23-25)</vt:lpstr>
      <vt:lpstr>прил.15 мун.внеш.заим.23-25</vt:lpstr>
      <vt:lpstr>прил.16 (гар.в ин.в.23-25)</vt:lpstr>
      <vt:lpstr>'прил 5 (Рз,ПР 24-26)'!Заголовки_для_печати</vt:lpstr>
      <vt:lpstr>'прил 6 (ЦС,ВР 24)'!Заголовки_для_печати</vt:lpstr>
      <vt:lpstr>'прил 7 (ЦС,ВР 25-26)'!Заголовки_для_печати</vt:lpstr>
      <vt:lpstr>'прил. 1 (поступл.24-26)'!Заголовки_для_печати</vt:lpstr>
      <vt:lpstr>'прил.10 (Источники 24-26)'!Заголовки_для_печати</vt:lpstr>
      <vt:lpstr>'прил.13 мун.внутр.заим.24-26)'!Заголовки_для_печати</vt:lpstr>
      <vt:lpstr>'прил.2(пост.безв.24)'!Заголовки_для_печати</vt:lpstr>
      <vt:lpstr>'прил.3 (пост.безв.25-26)'!Заголовки_для_печати</vt:lpstr>
      <vt:lpstr>'прил.4 (безв.от пос.24) '!Заголовки_для_печати</vt:lpstr>
      <vt:lpstr>'прил8 (ведом 24)'!Заголовки_для_печати</vt:lpstr>
      <vt:lpstr>'прил9 (ведом 25-26)'!Заголовки_для_печати</vt:lpstr>
      <vt:lpstr>'прил 5 (Рз,ПР 24-26)'!Область_печати</vt:lpstr>
      <vt:lpstr>'прил 6 (ЦС,ВР 24)'!Область_печати</vt:lpstr>
      <vt:lpstr>'прил 7 (ЦС,ВР 25-26)'!Область_печати</vt:lpstr>
      <vt:lpstr>'прил. 1 (поступл.24-26)'!Область_печати</vt:lpstr>
      <vt:lpstr>'прил.10 (Источники 24-26)'!Область_печати</vt:lpstr>
      <vt:lpstr>'прил.11 (безв.всего 23-25)'!Область_печати</vt:lpstr>
      <vt:lpstr>'прил.12 (дотация 24-26)'!Область_печати</vt:lpstr>
      <vt:lpstr>'прил.13 мун.внутр.заим.24-26)'!Область_печати</vt:lpstr>
      <vt:lpstr>'прил.2(пост.безв.24)'!Область_печати</vt:lpstr>
      <vt:lpstr>'прил.3 (пост.безв.25-26)'!Область_печати</vt:lpstr>
      <vt:lpstr>'прил.4 (безв.от пос.24) '!Область_печати</vt:lpstr>
      <vt:lpstr>'прил8 (ведом 24)'!Область_печати</vt:lpstr>
      <vt:lpstr>'прил9 (ведом 25-26)'!Область_печати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2024-05-03T06:03:31Z</dcterms:modified>
</cp:coreProperties>
</file>